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d.docs.live.net/7026dc791bedfa85/Trading/"/>
    </mc:Choice>
  </mc:AlternateContent>
  <xr:revisionPtr revIDLastSave="11" documentId="13_ncr:1000001_{B9466C7D-60BA-1D4E-B4D7-6DE763EBE645}" xr6:coauthVersionLast="47" xr6:coauthVersionMax="47" xr10:uidLastSave="{46D38ECC-7DDD-46C6-8550-EDF688D81CFA}"/>
  <bookViews>
    <workbookView xWindow="-108" yWindow="-108" windowWidth="23256" windowHeight="12456" xr2:uid="{00000000-000D-0000-FFFF-FFFF00000000}"/>
  </bookViews>
  <sheets>
    <sheet name="Data" sheetId="2" r:id="rId1"/>
    <sheet name="Dashboard and Summary" sheetId="1" r:id="rId2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Q10" i="2"/>
  <c r="Q9" i="2"/>
  <c r="Q8" i="2"/>
  <c r="Q7" i="2"/>
  <c r="Q6" i="2"/>
  <c r="Q5" i="2"/>
  <c r="K9" i="2"/>
  <c r="L9" i="2"/>
  <c r="K8" i="2"/>
  <c r="L8" i="2"/>
  <c r="K7" i="2"/>
  <c r="K5" i="2"/>
  <c r="L5" i="2"/>
  <c r="L10" i="2"/>
  <c r="L6" i="2"/>
  <c r="H10" i="2"/>
  <c r="H9" i="2"/>
  <c r="M9" i="2" s="1"/>
  <c r="H8" i="2"/>
  <c r="M8" i="2" s="1"/>
  <c r="H7" i="2"/>
  <c r="H6" i="2"/>
  <c r="M6" i="2" s="1"/>
  <c r="H5" i="2"/>
  <c r="G10" i="2"/>
  <c r="G9" i="2"/>
  <c r="G8" i="2"/>
  <c r="G7" i="2"/>
  <c r="G6" i="2"/>
  <c r="G5" i="2"/>
  <c r="Q4" i="2"/>
  <c r="D4" i="2"/>
  <c r="L4" i="2"/>
  <c r="Q3" i="2"/>
  <c r="L3" i="2"/>
  <c r="H3" i="2"/>
  <c r="M3" i="2"/>
  <c r="G3" i="2"/>
  <c r="Q2" i="2"/>
  <c r="L2" i="2"/>
  <c r="H2" i="2"/>
  <c r="I2" i="2" s="1"/>
  <c r="G2" i="2"/>
  <c r="L7" i="2"/>
  <c r="M7" i="2"/>
  <c r="M5" i="2"/>
  <c r="G4" i="2"/>
  <c r="H4" i="2"/>
  <c r="M4" i="2"/>
  <c r="B19" i="1"/>
  <c r="B18" i="1"/>
  <c r="B17" i="1"/>
  <c r="B16" i="1"/>
  <c r="B15" i="1"/>
  <c r="L7" i="1"/>
  <c r="L6" i="1"/>
  <c r="L5" i="1"/>
  <c r="D6" i="1"/>
  <c r="N2" i="2"/>
  <c r="N3" i="2" s="1"/>
  <c r="F9" i="1" l="1"/>
  <c r="M2" i="2"/>
  <c r="M10" i="2"/>
  <c r="E9" i="1" s="1"/>
  <c r="I3" i="2"/>
  <c r="N4" i="2"/>
  <c r="O3" i="2"/>
  <c r="I4" i="2"/>
  <c r="E17" i="1"/>
  <c r="E15" i="1"/>
  <c r="B6" i="1"/>
  <c r="C18" i="1"/>
  <c r="D18" i="1" s="1"/>
  <c r="P2" i="1"/>
  <c r="C6" i="1"/>
  <c r="O2" i="2"/>
  <c r="F19" i="1" l="1"/>
  <c r="F18" i="1"/>
  <c r="F15" i="1"/>
  <c r="G15" i="1" s="1"/>
  <c r="F16" i="1"/>
  <c r="E10" i="1"/>
  <c r="Q2" i="1"/>
  <c r="F17" i="1"/>
  <c r="G17" i="1" s="1"/>
  <c r="E16" i="1"/>
  <c r="C15" i="1"/>
  <c r="D15" i="1" s="1"/>
  <c r="C17" i="1"/>
  <c r="D17" i="1" s="1"/>
  <c r="C16" i="1"/>
  <c r="D16" i="1" s="1"/>
  <c r="E19" i="1"/>
  <c r="G19" i="1" s="1"/>
  <c r="E18" i="1"/>
  <c r="C19" i="1"/>
  <c r="D19" i="1" s="1"/>
  <c r="N5" i="2"/>
  <c r="O4" i="2"/>
  <c r="R2" i="1"/>
  <c r="P3" i="1"/>
  <c r="G18" i="1" l="1"/>
  <c r="G16" i="1"/>
  <c r="N6" i="2"/>
  <c r="O5" i="2"/>
  <c r="I5" i="2"/>
  <c r="E11" i="1"/>
  <c r="Q3" i="1"/>
  <c r="I6" i="2" l="1"/>
  <c r="O6" i="2"/>
  <c r="N7" i="2"/>
  <c r="O7" i="2" l="1"/>
  <c r="I7" i="2"/>
  <c r="N8" i="2"/>
  <c r="I8" i="2" l="1"/>
  <c r="N9" i="2"/>
  <c r="O8" i="2"/>
  <c r="O9" i="2" l="1"/>
  <c r="I9" i="2"/>
  <c r="N10" i="2"/>
  <c r="B8" i="1" l="1"/>
  <c r="I10" i="2"/>
  <c r="B2" i="1" s="1"/>
  <c r="F2" i="1"/>
  <c r="O10" i="2"/>
  <c r="B9" i="1" s="1"/>
  <c r="E2" i="1"/>
  <c r="B10" i="1" l="1"/>
  <c r="G2" i="1"/>
  <c r="H2" i="1"/>
  <c r="A6" i="1" s="1"/>
  <c r="G9" i="1"/>
</calcChain>
</file>

<file path=xl/sharedStrings.xml><?xml version="1.0" encoding="utf-8"?>
<sst xmlns="http://schemas.openxmlformats.org/spreadsheetml/2006/main" count="94" uniqueCount="80">
  <si>
    <t>DATE BUY</t>
  </si>
  <si>
    <t>TICK</t>
  </si>
  <si>
    <t>SHARE</t>
  </si>
  <si>
    <t>STOP LOSS</t>
  </si>
  <si>
    <t>PRICE TARGET</t>
  </si>
  <si>
    <t>RISK RATIO</t>
  </si>
  <si>
    <t>EQUITY</t>
  </si>
  <si>
    <t>% of Cap.</t>
  </si>
  <si>
    <t>DATE SELL</t>
  </si>
  <si>
    <t>$ RETURN</t>
  </si>
  <si>
    <t>% RETURN</t>
  </si>
  <si>
    <t>Capital</t>
  </si>
  <si>
    <t>% CAPITAL</t>
  </si>
  <si>
    <t>CODE</t>
  </si>
  <si>
    <t>Days Held</t>
  </si>
  <si>
    <t>NOTES</t>
  </si>
  <si>
    <t>PXL</t>
  </si>
  <si>
    <t>WVAP</t>
  </si>
  <si>
    <t>NTEC</t>
  </si>
  <si>
    <t>DAYTRADE</t>
  </si>
  <si>
    <t>RTW</t>
  </si>
  <si>
    <t>INVEST</t>
  </si>
  <si>
    <t>DDOG</t>
  </si>
  <si>
    <t>BREAKOUT</t>
  </si>
  <si>
    <t>SQQQ</t>
  </si>
  <si>
    <t>CONSOLIDATION</t>
  </si>
  <si>
    <t>UVXY</t>
  </si>
  <si>
    <t>FEAC</t>
  </si>
  <si>
    <t>RKT</t>
  </si>
  <si>
    <t>CMPS</t>
  </si>
  <si>
    <t>Avg Position Size</t>
  </si>
  <si>
    <t>Initial Capital</t>
  </si>
  <si>
    <t>Available Cash</t>
  </si>
  <si>
    <t>Last Capital</t>
  </si>
  <si>
    <t>Return %</t>
  </si>
  <si>
    <t>Return $</t>
  </si>
  <si>
    <t>%  Calculator</t>
  </si>
  <si>
    <t>Wins / Win%</t>
  </si>
  <si>
    <t>Loss / Loss%</t>
  </si>
  <si>
    <t>WL Ratio</t>
  </si>
  <si>
    <t>% of Capital</t>
  </si>
  <si>
    <t>Buy</t>
  </si>
  <si>
    <t>Goal</t>
  </si>
  <si>
    <t>11-15%</t>
  </si>
  <si>
    <t>Sell</t>
  </si>
  <si>
    <t>Shares</t>
  </si>
  <si>
    <t>SHARPE</t>
  </si>
  <si>
    <t>Open Pos</t>
  </si>
  <si>
    <t>Avg. Day Hold</t>
  </si>
  <si>
    <t>All Trades</t>
  </si>
  <si>
    <t>Pos. Sz</t>
  </si>
  <si>
    <t>Gain</t>
  </si>
  <si>
    <t>Gain $</t>
  </si>
  <si>
    <t>2R(+)$ % of CAP</t>
  </si>
  <si>
    <t>Average % Return</t>
  </si>
  <si>
    <t>Avg. Sz</t>
  </si>
  <si>
    <t>Goal Sz</t>
  </si>
  <si>
    <t>1R(-)$ % of CAP</t>
  </si>
  <si>
    <t>(+)</t>
  </si>
  <si>
    <t>Profit Ratio</t>
  </si>
  <si>
    <t>(-)</t>
  </si>
  <si>
    <t>Exp. Ret. 250 Trades</t>
  </si>
  <si>
    <t>Average</t>
  </si>
  <si>
    <t>CODES</t>
  </si>
  <si>
    <t xml:space="preserve">Total </t>
  </si>
  <si>
    <t>Wins</t>
  </si>
  <si>
    <t>PNL</t>
  </si>
  <si>
    <t>Profit%</t>
  </si>
  <si>
    <t>Loss%</t>
  </si>
  <si>
    <t>+R/-R</t>
  </si>
  <si>
    <t>SWINGDIPBUY</t>
  </si>
  <si>
    <t>Tag</t>
  </si>
  <si>
    <t>Definition</t>
  </si>
  <si>
    <t>Momentum on the daily, dip to supp on hrly</t>
  </si>
  <si>
    <t>Scalp play or Cup on 5min</t>
  </si>
  <si>
    <t>Momo. On daily. 4 day-10 day hold. Fundamental play</t>
  </si>
  <si>
    <t>BO of consolidation/resistance. On 15min-1hr</t>
  </si>
  <si>
    <t xml:space="preserve">Consolidating after recent big volume green move. </t>
  </si>
  <si>
    <t>ENTRY PRICE</t>
  </si>
  <si>
    <t>EXIT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</si>
</sst>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0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0.0%"/>
    <numFmt numFmtId="167" formatCode="_(&quot;$&quot;* #,##0.0_);_(&quot;$&quot;* \(#,##0.0\);_(&quot;$&quot;* &quot;-&quot;??_);_(@_)"/>
    <numFmt numFmtId="168" formatCode="_(&quot;$&quot;* #,##0_);_(&quot;$&quot;* \(#,##0\);_(&quot;$&quot;* &quot;-&quot;??_);_(@_)"/>
    <numFmt numFmtId="169" formatCode="_(&quot;$&quot;* #,##0.000_);_(&quot;$&quot;* \(#,##0.000\);_(&quot;$&quot;* &quot;-&quot;??_);_(@_)"/>
    <numFmt numFmtId="170" formatCode="_(* #,##0_);_(* \(#,##0\);_(* &quot;-&quot;??_);_(@_)"/>
    <numFmt numFmtId="171" formatCode="0.0"/>
    <numFmt numFmtId="172" formatCode="_(* #,##0.0_);_(* \(#,##0.0\);_(* &quot;-&quot;??_);_(@_)"/>
    <numFmt numFmtId="173" formatCode="[$-405]d\.\ mmmm\ yy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4">
    <xf numFmtId="0" fontId="0" fillId="0" borderId="0" xfId="0"/>
    <xf numFmtId="0" fontId="3" fillId="0" borderId="0" xfId="0" applyFont="1"/>
    <xf numFmtId="167" fontId="3" fillId="0" borderId="0" xfId="2" applyNumberFormat="1" applyFont="1" applyFill="1" applyBorder="1"/>
    <xf numFmtId="9" fontId="3" fillId="0" borderId="0" xfId="3" applyFont="1" applyFill="1" applyBorder="1"/>
    <xf numFmtId="167" fontId="3" fillId="0" borderId="0" xfId="0" applyNumberFormat="1" applyFont="1"/>
    <xf numFmtId="9" fontId="2" fillId="0" borderId="0" xfId="3" applyFont="1" applyFill="1" applyBorder="1" applyAlignment="1">
      <alignment horizontal="center"/>
    </xf>
    <xf numFmtId="168" fontId="3" fillId="0" borderId="0" xfId="2" applyNumberFormat="1" applyFont="1" applyFill="1" applyBorder="1"/>
    <xf numFmtId="0" fontId="7" fillId="0" borderId="0" xfId="0" applyFont="1"/>
    <xf numFmtId="1" fontId="0" fillId="0" borderId="1" xfId="0" applyNumberFormat="1" applyBorder="1"/>
    <xf numFmtId="0" fontId="0" fillId="0" borderId="0" xfId="0" applyAlignment="1">
      <alignment horizontal="center"/>
    </xf>
    <xf numFmtId="0" fontId="0" fillId="0" borderId="1" xfId="0" applyBorder="1"/>
    <xf numFmtId="166" fontId="0" fillId="0" borderId="1" xfId="3" applyNumberFormat="1" applyFont="1" applyBorder="1"/>
    <xf numFmtId="9" fontId="0" fillId="0" borderId="0" xfId="3" applyFont="1"/>
    <xf numFmtId="16" fontId="0" fillId="0" borderId="0" xfId="0" applyNumberFormat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164" fontId="4" fillId="0" borderId="0" xfId="2" applyFont="1" applyFill="1" applyBorder="1" applyAlignment="1">
      <alignment horizontal="center" vertical="center" wrapText="1"/>
    </xf>
    <xf numFmtId="166" fontId="4" fillId="4" borderId="0" xfId="3" applyNumberFormat="1" applyFont="1" applyFill="1" applyBorder="1" applyAlignment="1">
      <alignment horizontal="center" vertical="center" wrapText="1"/>
    </xf>
    <xf numFmtId="167" fontId="4" fillId="4" borderId="0" xfId="2" applyNumberFormat="1" applyFont="1" applyFill="1" applyBorder="1" applyAlignment="1">
      <alignment horizontal="center" vertical="center" wrapText="1"/>
    </xf>
    <xf numFmtId="9" fontId="4" fillId="4" borderId="0" xfId="3" applyFont="1" applyFill="1" applyBorder="1" applyAlignment="1">
      <alignment horizontal="center" vertical="center" wrapText="1"/>
    </xf>
    <xf numFmtId="168" fontId="4" fillId="4" borderId="0" xfId="2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169" fontId="5" fillId="0" borderId="0" xfId="2" applyNumberFormat="1" applyFont="1" applyFill="1" applyBorder="1" applyAlignment="1"/>
    <xf numFmtId="164" fontId="0" fillId="0" borderId="0" xfId="2" applyFont="1" applyFill="1" applyBorder="1" applyAlignment="1"/>
    <xf numFmtId="39" fontId="0" fillId="3" borderId="0" xfId="3" applyNumberFormat="1" applyFont="1" applyFill="1" applyBorder="1" applyAlignment="1"/>
    <xf numFmtId="167" fontId="0" fillId="3" borderId="0" xfId="2" applyNumberFormat="1" applyFont="1" applyFill="1" applyBorder="1" applyAlignment="1"/>
    <xf numFmtId="9" fontId="0" fillId="3" borderId="0" xfId="3" applyFont="1" applyFill="1" applyBorder="1" applyAlignment="1">
      <alignment horizontal="center"/>
    </xf>
    <xf numFmtId="9" fontId="5" fillId="3" borderId="0" xfId="3" applyFont="1" applyFill="1" applyBorder="1" applyAlignment="1">
      <alignment horizontal="center"/>
    </xf>
    <xf numFmtId="168" fontId="0" fillId="3" borderId="0" xfId="2" applyNumberFormat="1" applyFont="1" applyFill="1" applyBorder="1" applyAlignment="1">
      <alignment horizontal="right"/>
    </xf>
    <xf numFmtId="166" fontId="0" fillId="3" borderId="0" xfId="3" applyNumberFormat="1" applyFont="1" applyFill="1" applyBorder="1" applyAlignment="1">
      <alignment horizontal="right"/>
    </xf>
    <xf numFmtId="0" fontId="0" fillId="0" borderId="0" xfId="0" applyAlignment="1">
      <alignment horizontal="left"/>
    </xf>
    <xf numFmtId="165" fontId="0" fillId="3" borderId="0" xfId="1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2" fontId="0" fillId="0" borderId="1" xfId="0" applyNumberFormat="1" applyBorder="1"/>
    <xf numFmtId="0" fontId="6" fillId="2" borderId="1" xfId="0" applyFont="1" applyFill="1" applyBorder="1"/>
    <xf numFmtId="0" fontId="4" fillId="2" borderId="1" xfId="0" applyFont="1" applyFill="1" applyBorder="1"/>
    <xf numFmtId="2" fontId="0" fillId="0" borderId="1" xfId="3" applyNumberFormat="1" applyFont="1" applyFill="1" applyBorder="1"/>
    <xf numFmtId="166" fontId="0" fillId="0" borderId="1" xfId="3" applyNumberFormat="1" applyFont="1" applyFill="1" applyBorder="1"/>
    <xf numFmtId="168" fontId="0" fillId="0" borderId="1" xfId="2" applyNumberFormat="1" applyFont="1" applyBorder="1"/>
    <xf numFmtId="9" fontId="0" fillId="0" borderId="1" xfId="3" applyFont="1" applyBorder="1"/>
    <xf numFmtId="168" fontId="0" fillId="0" borderId="1" xfId="0" applyNumberFormat="1" applyBorder="1"/>
    <xf numFmtId="165" fontId="0" fillId="0" borderId="1" xfId="1" applyFont="1" applyBorder="1"/>
    <xf numFmtId="171" fontId="0" fillId="0" borderId="1" xfId="0" applyNumberFormat="1" applyBorder="1"/>
    <xf numFmtId="171" fontId="0" fillId="5" borderId="1" xfId="0" applyNumberFormat="1" applyFill="1" applyBorder="1"/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9" fontId="0" fillId="0" borderId="1" xfId="3" applyFon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171" fontId="0" fillId="5" borderId="1" xfId="0" applyNumberFormat="1" applyFill="1" applyBorder="1" applyAlignment="1">
      <alignment horizontal="center"/>
    </xf>
    <xf numFmtId="164" fontId="0" fillId="0" borderId="1" xfId="2" applyFont="1" applyBorder="1"/>
    <xf numFmtId="167" fontId="0" fillId="5" borderId="1" xfId="2" applyNumberFormat="1" applyFont="1" applyFill="1" applyBorder="1"/>
    <xf numFmtId="166" fontId="0" fillId="5" borderId="1" xfId="3" applyNumberFormat="1" applyFont="1" applyFill="1" applyBorder="1"/>
    <xf numFmtId="172" fontId="0" fillId="0" borderId="0" xfId="1" applyNumberFormat="1" applyFont="1" applyBorder="1"/>
    <xf numFmtId="10" fontId="0" fillId="0" borderId="1" xfId="3" applyNumberFormat="1" applyFont="1" applyBorder="1"/>
    <xf numFmtId="0" fontId="0" fillId="5" borderId="1" xfId="0" applyFill="1" applyBorder="1"/>
    <xf numFmtId="167" fontId="0" fillId="0" borderId="1" xfId="2" applyNumberFormat="1" applyFont="1" applyBorder="1"/>
    <xf numFmtId="0" fontId="8" fillId="0" borderId="0" xfId="0" applyFont="1"/>
    <xf numFmtId="0" fontId="4" fillId="2" borderId="1" xfId="0" applyFont="1" applyFill="1" applyBorder="1" applyAlignment="1">
      <alignment vertical="center" wrapText="1"/>
    </xf>
    <xf numFmtId="0" fontId="4" fillId="2" borderId="2" xfId="0" applyFont="1" applyFill="1" applyBorder="1"/>
    <xf numFmtId="173" fontId="4" fillId="0" borderId="0" xfId="0" applyNumberFormat="1" applyFont="1" applyAlignment="1">
      <alignment horizontal="center" vertical="center" wrapText="1"/>
    </xf>
    <xf numFmtId="173" fontId="0" fillId="0" borderId="0" xfId="0" applyNumberFormat="1" applyAlignment="1">
      <alignment horizontal="left"/>
    </xf>
    <xf numFmtId="173" fontId="3" fillId="0" borderId="0" xfId="0" applyNumberFormat="1" applyFont="1"/>
    <xf numFmtId="173" fontId="3" fillId="0" borderId="0" xfId="0" applyNumberFormat="1" applyFont="1" applyAlignment="1">
      <alignment horizontal="left"/>
    </xf>
    <xf numFmtId="170" fontId="0" fillId="0" borderId="0" xfId="1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69" fontId="0" fillId="0" borderId="0" xfId="2" applyNumberFormat="1" applyFont="1" applyFill="1" applyBorder="1" applyAlignment="1">
      <alignment horizontal="left"/>
    </xf>
    <xf numFmtId="169" fontId="4" fillId="0" borderId="0" xfId="2" applyNumberFormat="1" applyFont="1" applyFill="1" applyBorder="1" applyAlignment="1">
      <alignment horizontal="center" vertical="center" wrapText="1"/>
    </xf>
    <xf numFmtId="169" fontId="3" fillId="0" borderId="0" xfId="0" applyNumberFormat="1" applyFont="1"/>
  </cellXfs>
  <cellStyles count="4">
    <cellStyle name="Čárka" xfId="1" builtinId="3"/>
    <cellStyle name="Měna" xfId="2" builtinId="4"/>
    <cellStyle name="Normální" xfId="0" builtinId="0"/>
    <cellStyle name="Procenta" xfId="3" builtinId="5"/>
  </cellStyles>
  <dxfs count="49"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_(&quot;$&quot;* #,##0.000_);_(&quot;$&quot;* \(#,##0.000\);_(&quot;$&quot;* &quot;-&quot;??_);_(@_)"/>
    </dxf>
    <dxf>
      <font>
        <color rgb="FF006100"/>
      </font>
      <fill>
        <patternFill>
          <bgColor rgb="FFC6EFCE"/>
        </patternFill>
      </fill>
    </dxf>
    <dxf>
      <font>
        <strike val="0"/>
      </font>
      <fill>
        <patternFill>
          <bgColor theme="9" tint="0.79998168889431442"/>
        </patternFill>
      </fill>
    </dxf>
    <dxf>
      <font>
        <strike val="0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b/>
        <i val="0"/>
        <color theme="9" tint="-0.24994659260841701"/>
      </font>
    </dxf>
    <dxf>
      <font>
        <color rgb="FFFF0000"/>
      </font>
    </dxf>
    <dxf>
      <font>
        <color rgb="FFFF0000"/>
      </font>
    </dxf>
    <dxf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textRotation="0" indent="0" justifyLastLine="0" shrinkToFit="0" readingOrder="0"/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3" formatCode="[$-405]d\.\ mmmm\ yy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0" formatCode="General"/>
      <fill>
        <patternFill patternType="solid">
          <fgColor indexed="64"/>
          <bgColor rgb="FFF9ADA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nsolas"/>
        <scheme val="none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3" formatCode="[$-405]d\.\ mmmm\ yyyy;@"/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>
          <bgColor rgb="FF008080"/>
        </patternFill>
      </fill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</dxfs>
  <tableStyles count="1" defaultTableStyle="TableStyleMedium2" defaultPivotStyle="PivotStyleLight16">
    <tableStyle name="Table Style 1" pivot="0" count="2" xr9:uid="{740858B3-613B-4827-9796-8EA99B7677D0}">
      <tableStyleElement type="wholeTable" dxfId="48"/>
      <tableStyleElement type="headerRow" dxfId="47"/>
    </tableStyle>
  </tableStyles>
  <colors>
    <mruColors>
      <color rgb="FF008080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Position</a:t>
            </a:r>
            <a:r>
              <a:rPr lang="en-US" baseline="0"/>
              <a:t> Size % of Capital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8080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rgbClr val="FF0000"/>
                </a:solidFill>
                <a:prstDash val="sysDot"/>
              </a:ln>
              <a:effectLst/>
            </c:spPr>
            <c:trendlineType val="movingAvg"/>
            <c:period val="10"/>
            <c:dispRSqr val="0"/>
            <c:dispEq val="0"/>
          </c:trendline>
          <c:val>
            <c:numRef>
              <c:f>Data!$I$2:$I$11</c:f>
              <c:numCache>
                <c:formatCode>0%</c:formatCode>
                <c:ptCount val="10"/>
                <c:pt idx="0">
                  <c:v>0.2</c:v>
                </c:pt>
                <c:pt idx="1">
                  <c:v>0.29227662796567389</c:v>
                </c:pt>
                <c:pt idx="2">
                  <c:v>0.32224469671087363</c:v>
                </c:pt>
                <c:pt idx="3">
                  <c:v>0.69000264640154729</c:v>
                </c:pt>
                <c:pt idx="4">
                  <c:v>0.39939060200507137</c:v>
                </c:pt>
                <c:pt idx="5">
                  <c:v>0.31983320286254951</c:v>
                </c:pt>
                <c:pt idx="6">
                  <c:v>0.68065646572928329</c:v>
                </c:pt>
                <c:pt idx="7">
                  <c:v>0.45331050608858808</c:v>
                </c:pt>
                <c:pt idx="8">
                  <c:v>0.51784536350370791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A28-4309-91AF-17AD0DC24B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6"/>
        <c:overlap val="-27"/>
        <c:axId val="962852000"/>
        <c:axId val="1018100048"/>
      </c:barChart>
      <c:catAx>
        <c:axId val="9628520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018100048"/>
        <c:crosses val="autoZero"/>
        <c:auto val="1"/>
        <c:lblAlgn val="ctr"/>
        <c:lblOffset val="100"/>
        <c:noMultiLvlLbl val="0"/>
      </c:catAx>
      <c:valAx>
        <c:axId val="1018100048"/>
        <c:scaling>
          <c:orientation val="minMax"/>
        </c:scaling>
        <c:delete val="0"/>
        <c:axPos val="l"/>
        <c:majorGridlines>
          <c:spPr>
            <a:ln w="6350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962852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% Return on Capital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Data!$O$1</c:f>
              <c:strCache>
                <c:ptCount val="1"/>
                <c:pt idx="0">
                  <c:v>% CAPITAL</c:v>
                </c:pt>
              </c:strCache>
            </c:strRef>
          </c:tx>
          <c:spPr>
            <a:solidFill>
              <a:srgbClr val="008080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rgbClr val="FF0000"/>
                </a:solidFill>
                <a:prstDash val="sysDot"/>
              </a:ln>
              <a:effectLst/>
            </c:spPr>
            <c:trendlineType val="movingAvg"/>
            <c:period val="20"/>
            <c:dispRSqr val="0"/>
            <c:dispEq val="0"/>
          </c:trendline>
          <c:val>
            <c:numRef>
              <c:f>Data!$O$2:$O$11</c:f>
              <c:numCache>
                <c:formatCode>0.0%</c:formatCode>
                <c:ptCount val="10"/>
                <c:pt idx="0">
                  <c:v>-1.5000000000000013E-2</c:v>
                </c:pt>
                <c:pt idx="1">
                  <c:v>-9.5911155981826882E-3</c:v>
                </c:pt>
                <c:pt idx="2">
                  <c:v>3.8633257756933874E-2</c:v>
                </c:pt>
                <c:pt idx="3">
                  <c:v>0.15845737659927595</c:v>
                </c:pt>
                <c:pt idx="4">
                  <c:v>-5.7381523218616309E-2</c:v>
                </c:pt>
                <c:pt idx="5">
                  <c:v>0.10786954565347366</c:v>
                </c:pt>
                <c:pt idx="6">
                  <c:v>0.12298427423060494</c:v>
                </c:pt>
                <c:pt idx="7">
                  <c:v>0.11905725701604419</c:v>
                </c:pt>
                <c:pt idx="8">
                  <c:v>-4.9348351889979387E-2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5D-4AA2-89A4-B1CD6BCD92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-27"/>
        <c:axId val="1018100832"/>
        <c:axId val="1018101224"/>
      </c:barChart>
      <c:catAx>
        <c:axId val="1018100832"/>
        <c:scaling>
          <c:orientation val="minMax"/>
        </c:scaling>
        <c:delete val="1"/>
        <c:axPos val="b"/>
        <c:majorTickMark val="none"/>
        <c:minorTickMark val="none"/>
        <c:tickLblPos val="nextTo"/>
        <c:crossAx val="1018101224"/>
        <c:crosses val="autoZero"/>
        <c:auto val="1"/>
        <c:lblAlgn val="ctr"/>
        <c:lblOffset val="100"/>
        <c:noMultiLvlLbl val="0"/>
      </c:catAx>
      <c:valAx>
        <c:axId val="1018101224"/>
        <c:scaling>
          <c:orientation val="minMax"/>
          <c:max val="5.000000000000001E-2"/>
          <c:min val="-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018100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Equity Curve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rgbClr val="008080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57903196740586704"/>
                  <c:y val="-1.8935185185185208E-2"/>
                </c:manualLayout>
              </c:layout>
              <c:numFmt formatCode="General" sourceLinked="0"/>
              <c:spPr>
                <a:solidFill>
                  <a:schemeClr val="bg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2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yVal>
            <c:numRef>
              <c:f>Data!$N$2:$N$112</c:f>
              <c:numCache>
                <c:formatCode>_("$"* #\ ##0_);_("$"* \(#\ ##0\);_("$"* "-"??_);_(@_)</c:formatCode>
                <c:ptCount val="111"/>
                <c:pt idx="0">
                  <c:v>100</c:v>
                </c:pt>
                <c:pt idx="1">
                  <c:v>99.050000000000011</c:v>
                </c:pt>
                <c:pt idx="2">
                  <c:v>103.03040000000001</c:v>
                </c:pt>
                <c:pt idx="3">
                  <c:v>122.43040000000001</c:v>
                </c:pt>
                <c:pt idx="4">
                  <c:v>115.78640000000001</c:v>
                </c:pt>
                <c:pt idx="5">
                  <c:v>129.78640000000001</c:v>
                </c:pt>
                <c:pt idx="6">
                  <c:v>147.9864</c:v>
                </c:pt>
                <c:pt idx="7">
                  <c:v>167.9864</c:v>
                </c:pt>
                <c:pt idx="8">
                  <c:v>160.0864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2FE-4EEE-8D07-DB7633E0DC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18102008"/>
        <c:axId val="1018102400"/>
      </c:scatterChart>
      <c:valAx>
        <c:axId val="1018102008"/>
        <c:scaling>
          <c:orientation val="minMax"/>
          <c:max val="8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\-m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018102400"/>
        <c:crosses val="autoZero"/>
        <c:crossBetween val="midCat"/>
      </c:valAx>
      <c:valAx>
        <c:axId val="1018102400"/>
        <c:scaling>
          <c:orientation val="minMax"/>
          <c:max val="1200"/>
          <c:min val="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$&quot;* #,##0_);_(&quot;$&quot;* \(#,##0\);_(&quot;$&quot;* &quot;-&quot;_);_(@_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1018102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359833</xdr:colOff>
      <xdr:row>7</xdr:row>
      <xdr:rowOff>157162</xdr:rowOff>
    </xdr:from>
    <xdr:to>
      <xdr:col>22</xdr:col>
      <xdr:colOff>379942</xdr:colOff>
      <xdr:row>20</xdr:row>
      <xdr:rowOff>116417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285749</xdr:colOff>
      <xdr:row>7</xdr:row>
      <xdr:rowOff>169598</xdr:rowOff>
    </xdr:from>
    <xdr:to>
      <xdr:col>15</xdr:col>
      <xdr:colOff>306916</xdr:colOff>
      <xdr:row>20</xdr:row>
      <xdr:rowOff>118799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285751</xdr:colOff>
      <xdr:row>20</xdr:row>
      <xdr:rowOff>174188</xdr:rowOff>
    </xdr:from>
    <xdr:to>
      <xdr:col>22</xdr:col>
      <xdr:colOff>381000</xdr:colOff>
      <xdr:row>35</xdr:row>
      <xdr:rowOff>59888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0.63542</cdr:x>
      <cdr:y>0.04514</cdr:y>
    </cdr:from>
    <cdr:to>
      <cdr:x>0.83542</cdr:x>
      <cdr:y>0.37847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905125" y="123825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224" displayName="Table224" ref="A1:R10" headerRowDxfId="46" dataDxfId="45" totalsRowDxfId="44">
  <tableColumns count="18">
    <tableColumn id="1" xr3:uid="{00000000-0010-0000-0000-000001000000}" name="DATE BUY" totalsRowLabel="Total" dataDxfId="43" totalsRowDxfId="42"/>
    <tableColumn id="2" xr3:uid="{00000000-0010-0000-0000-000002000000}" name="TICK" dataDxfId="41" totalsRowDxfId="40"/>
    <tableColumn id="3" xr3:uid="{00000000-0010-0000-0000-000003000000}" name="SHARE" dataDxfId="39" totalsRowDxfId="38"/>
    <tableColumn id="4" xr3:uid="{00000000-0010-0000-0000-000004000000}" name="ENTRY PRICE" dataDxfId="37" totalsRowDxfId="36"/>
    <tableColumn id="5" xr3:uid="{00000000-0010-0000-0000-000005000000}" name="STOP LOSS" dataDxfId="35" totalsRowDxfId="34"/>
    <tableColumn id="6" xr3:uid="{00000000-0010-0000-0000-000006000000}" name="PRICE TARGET" dataDxfId="33" totalsRowDxfId="32"/>
    <tableColumn id="7" xr3:uid="{00000000-0010-0000-0000-000007000000}" name="RISK RATIO" dataDxfId="31" totalsRowDxfId="30">
      <calculatedColumnFormula>(F2-D2)/(D2-E2)</calculatedColumnFormula>
    </tableColumn>
    <tableColumn id="8" xr3:uid="{00000000-0010-0000-0000-000008000000}" name="EQUITY" dataDxfId="29" totalsRowDxfId="28">
      <calculatedColumnFormula>C2*D2</calculatedColumnFormula>
    </tableColumn>
    <tableColumn id="9" xr3:uid="{00000000-0010-0000-0000-000009000000}" name="% of Cap." dataDxfId="27" totalsRowDxfId="26">
      <calculatedColumnFormula>H2/IF(ISBLANK(N2),LOOKUP(2,1/(N:N&lt;&gt;""),N:N),N2)</calculatedColumnFormula>
    </tableColumn>
    <tableColumn id="10" xr3:uid="{00000000-0010-0000-0000-00000A000000}" name="DATE SELL" dataDxfId="25" totalsRowDxfId="24"/>
    <tableColumn id="11" xr3:uid="{00000000-0010-0000-0000-00000B000000}" name="EXIT PRICE" dataDxfId="0" totalsRowDxfId="23"/>
    <tableColumn id="12" xr3:uid="{00000000-0010-0000-0000-00000C000000}" name="$ RETURN" dataDxfId="22"/>
    <tableColumn id="13" xr3:uid="{00000000-0010-0000-0000-00000D000000}" name="% RETURN" dataDxfId="21">
      <calculatedColumnFormula>L2/H2</calculatedColumnFormula>
    </tableColumn>
    <tableColumn id="14" xr3:uid="{00000000-0010-0000-0000-00000E000000}" name="Capital" dataDxfId="20" totalsRowDxfId="19">
      <calculatedColumnFormula>N1+L1</calculatedColumnFormula>
    </tableColumn>
    <tableColumn id="15" xr3:uid="{00000000-0010-0000-0000-00000F000000}" name="% CAPITAL" dataDxfId="18" totalsRowDxfId="17"/>
    <tableColumn id="16" xr3:uid="{00000000-0010-0000-0000-000010000000}" name="CODE" dataDxfId="16" totalsRowDxfId="15"/>
    <tableColumn id="18" xr3:uid="{00000000-0010-0000-0000-000012000000}" name="Days Held" dataDxfId="14" totalsRowDxfId="13">
      <calculatedColumnFormula>IF(Table224[[#This Row],[DATE BUY]]&gt;0,MIN(   Table224[[#This Row],[DATE SELL]],    TODAY())-Table224[[#This Row],[DATE BUY]],     0)</calculatedColumnFormula>
    </tableColumn>
    <tableColumn id="17" xr3:uid="{00000000-0010-0000-0000-000011000000}" name="NOTES" totalsRowFunction="count" dataDxfId="12" totalsRowDxfId="11"/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8361D-59A9-4407-9C06-7BB0F0B452EC}">
  <dimension ref="A1:R10"/>
  <sheetViews>
    <sheetView showGridLines="0" tabSelected="1" zoomScale="120" zoomScaleNormal="120" workbookViewId="0">
      <pane ySplit="1" topLeftCell="A2" activePane="bottomLeft" state="frozen"/>
      <selection pane="bottomLeft" activeCell="G14" sqref="G14"/>
    </sheetView>
  </sheetViews>
  <sheetFormatPr defaultRowHeight="14.4" x14ac:dyDescent="0.3"/>
  <cols>
    <col min="1" max="1" width="16" style="63" bestFit="1" customWidth="1"/>
    <col min="2" max="2" width="6.33203125" style="1" bestFit="1" customWidth="1"/>
    <col min="3" max="3" width="6.6640625" style="1" bestFit="1" customWidth="1"/>
    <col min="4" max="4" width="10.6640625" style="1" bestFit="1" customWidth="1"/>
    <col min="5" max="5" width="8.88671875" style="1" customWidth="1"/>
    <col min="6" max="6" width="9.6640625" style="1" customWidth="1"/>
    <col min="7" max="7" width="7.33203125" style="1" customWidth="1"/>
    <col min="8" max="8" width="7.88671875" style="2" bestFit="1" customWidth="1"/>
    <col min="9" max="9" width="9.109375" style="3" bestFit="1" customWidth="1"/>
    <col min="10" max="10" width="16.109375" style="62" bestFit="1" customWidth="1"/>
    <col min="11" max="11" width="10.44140625" style="73" bestFit="1" customWidth="1"/>
    <col min="12" max="12" width="10" style="4" customWidth="1"/>
    <col min="13" max="13" width="10.109375" style="5" bestFit="1" customWidth="1"/>
    <col min="14" max="14" width="7.5546875" style="6" bestFit="1" customWidth="1"/>
    <col min="15" max="15" width="10.33203125" style="1" bestFit="1" customWidth="1"/>
    <col min="16" max="16" width="15.33203125" style="1" bestFit="1" customWidth="1"/>
    <col min="17" max="17" width="9.6640625" style="65" bestFit="1" customWidth="1"/>
    <col min="18" max="18" width="42.6640625" style="1" customWidth="1"/>
  </cols>
  <sheetData>
    <row r="1" spans="1:18" s="14" customFormat="1" ht="24.75" customHeight="1" x14ac:dyDescent="0.3">
      <c r="A1" s="60" t="s">
        <v>0</v>
      </c>
      <c r="B1" s="15" t="s">
        <v>1</v>
      </c>
      <c r="C1" s="15" t="s">
        <v>2</v>
      </c>
      <c r="D1" s="16" t="s">
        <v>78</v>
      </c>
      <c r="E1" s="16" t="s">
        <v>3</v>
      </c>
      <c r="F1" s="16" t="s">
        <v>4</v>
      </c>
      <c r="G1" s="17" t="s">
        <v>5</v>
      </c>
      <c r="H1" s="18" t="s">
        <v>6</v>
      </c>
      <c r="I1" s="19" t="s">
        <v>7</v>
      </c>
      <c r="J1" s="60" t="s">
        <v>8</v>
      </c>
      <c r="K1" s="72" t="s">
        <v>79</v>
      </c>
      <c r="L1" s="18" t="s">
        <v>9</v>
      </c>
      <c r="M1" s="19" t="s">
        <v>10</v>
      </c>
      <c r="N1" s="20" t="s">
        <v>11</v>
      </c>
      <c r="O1" s="17" t="s">
        <v>12</v>
      </c>
      <c r="P1" s="15" t="s">
        <v>13</v>
      </c>
      <c r="Q1" s="21" t="s">
        <v>14</v>
      </c>
      <c r="R1" s="15" t="s">
        <v>15</v>
      </c>
    </row>
    <row r="2" spans="1:18" x14ac:dyDescent="0.3">
      <c r="A2" s="61">
        <v>45485</v>
      </c>
      <c r="B2" s="9" t="s">
        <v>16</v>
      </c>
      <c r="C2" s="9">
        <v>100</v>
      </c>
      <c r="D2" s="22">
        <v>0.2</v>
      </c>
      <c r="E2" s="23">
        <v>0.21</v>
      </c>
      <c r="F2" s="23">
        <v>0.17</v>
      </c>
      <c r="G2" s="24">
        <f>(F2-D2)/(D2-E2)</f>
        <v>3.0000000000000053</v>
      </c>
      <c r="H2" s="25">
        <f>C2*D2</f>
        <v>20</v>
      </c>
      <c r="I2" s="26">
        <f>H2/IF(ISBLANK(N2),LOOKUP(2,1/(N:N&lt;&gt;""),N:N),N2)</f>
        <v>0.2</v>
      </c>
      <c r="J2" s="61">
        <v>45484</v>
      </c>
      <c r="K2" s="71">
        <v>0.185</v>
      </c>
      <c r="L2" s="25">
        <f>IF(Table224[[#This Row],[EXIT PRICE]]&gt;0,(K2-D2)*C2,1/0)</f>
        <v>-1.5000000000000013</v>
      </c>
      <c r="M2" s="27">
        <f>IF(Table224[[#This Row],[EXIT PRICE]]=0,0,L2/H2)</f>
        <v>-7.5000000000000067E-2</v>
      </c>
      <c r="N2" s="28">
        <f>'Dashboard and Summary'!D2</f>
        <v>100</v>
      </c>
      <c r="O2" s="29">
        <f>L2/N2</f>
        <v>-1.5000000000000013E-2</v>
      </c>
      <c r="P2" s="30" t="s">
        <v>17</v>
      </c>
      <c r="Q2" s="64">
        <f ca="1">IF(Table224[[#This Row],[DATE BUY]]&gt;0,MIN(   Table224[[#This Row],[DATE SELL]],    TODAY())-Table224[[#This Row],[DATE BUY]],     0)</f>
        <v>-1</v>
      </c>
      <c r="R2"/>
    </row>
    <row r="3" spans="1:18" x14ac:dyDescent="0.3">
      <c r="A3" s="61">
        <v>45067</v>
      </c>
      <c r="B3" s="9" t="s">
        <v>18</v>
      </c>
      <c r="C3" s="9">
        <v>100</v>
      </c>
      <c r="D3" s="22">
        <v>0.28949999999999998</v>
      </c>
      <c r="E3" s="23">
        <v>0.25</v>
      </c>
      <c r="F3" s="23">
        <v>0.31</v>
      </c>
      <c r="G3" s="24">
        <f>(F3-D3)/(D3-E3)</f>
        <v>0.51898734177215267</v>
      </c>
      <c r="H3" s="25">
        <f>C3*D3</f>
        <v>28.95</v>
      </c>
      <c r="I3" s="26">
        <f>H3/IF(ISBLANK(N3),LOOKUP(2,1/(N:N&lt;&gt;""),N:N),N3)</f>
        <v>0.29227662796567389</v>
      </c>
      <c r="J3" s="61">
        <v>45067</v>
      </c>
      <c r="K3" s="71">
        <v>0.28000000000000003</v>
      </c>
      <c r="L3" s="25">
        <f>(K3-D3)*C3</f>
        <v>-0.94999999999999529</v>
      </c>
      <c r="M3" s="27">
        <f>IF(Table224[[#This Row],[EXIT PRICE]]=0,0,L3/H3)</f>
        <v>-3.2815198618307263E-2</v>
      </c>
      <c r="N3" s="28">
        <f>N2+Table224[[#This Row],[$ RETURN]]</f>
        <v>99.050000000000011</v>
      </c>
      <c r="O3" s="29">
        <f>L3/N3</f>
        <v>-9.5911155981826882E-3</v>
      </c>
      <c r="P3" s="30" t="s">
        <v>19</v>
      </c>
      <c r="Q3" s="64">
        <f ca="1">IF(Table224[[#This Row],[DATE BUY]]&gt;0,MIN(   Table224[[#This Row],[DATE SELL]],    TODAY())-Table224[[#This Row],[DATE BUY]],     0)</f>
        <v>0</v>
      </c>
      <c r="R3"/>
    </row>
    <row r="4" spans="1:18" x14ac:dyDescent="0.3">
      <c r="A4" s="61">
        <v>45052</v>
      </c>
      <c r="B4" s="9" t="s">
        <v>20</v>
      </c>
      <c r="C4" s="9">
        <v>93</v>
      </c>
      <c r="D4" s="22">
        <f>0.357</f>
        <v>0.35699999999999998</v>
      </c>
      <c r="E4" s="23">
        <v>0.5</v>
      </c>
      <c r="F4" s="23">
        <v>0.92999999999999994</v>
      </c>
      <c r="G4" s="31">
        <f>(F4-D4)/(D4-E4)</f>
        <v>-4.0069930069930066</v>
      </c>
      <c r="H4" s="25">
        <f>C4*D4</f>
        <v>33.201000000000001</v>
      </c>
      <c r="I4" s="26">
        <f>H4/IF(ISBLANK(N4),LOOKUP(2,1/(N:N&lt;&gt;""),N:N),N4)</f>
        <v>0.32224469671087363</v>
      </c>
      <c r="J4" s="61">
        <v>45067</v>
      </c>
      <c r="K4" s="71">
        <v>0.39979999999999999</v>
      </c>
      <c r="L4" s="25">
        <f>(K4-D4)*C4</f>
        <v>3.9804000000000004</v>
      </c>
      <c r="M4" s="27">
        <f>IF(Table224[[#This Row],[EXIT PRICE]]=0,0,L4/H4)</f>
        <v>0.11988795518207283</v>
      </c>
      <c r="N4" s="28">
        <f>N3+Table224[[#This Row],[$ RETURN]]</f>
        <v>103.03040000000001</v>
      </c>
      <c r="O4" s="29">
        <f>L4/N4</f>
        <v>3.8633257756933874E-2</v>
      </c>
      <c r="P4" s="30" t="s">
        <v>21</v>
      </c>
      <c r="Q4" s="64">
        <f ca="1">IF(Table224[[#This Row],[DATE BUY]]&gt;0,MIN(   Table224[[#This Row],[DATE SELL]],    TODAY())-Table224[[#This Row],[DATE BUY]],     0)</f>
        <v>15</v>
      </c>
      <c r="R4"/>
    </row>
    <row r="5" spans="1:18" x14ac:dyDescent="0.3">
      <c r="A5" s="61">
        <v>45144</v>
      </c>
      <c r="B5" s="9" t="s">
        <v>22</v>
      </c>
      <c r="C5" s="9">
        <v>97</v>
      </c>
      <c r="D5" s="22">
        <v>0.87090000000000001</v>
      </c>
      <c r="E5" s="23">
        <v>0.25</v>
      </c>
      <c r="F5" s="23">
        <v>0.54</v>
      </c>
      <c r="G5" s="31">
        <f t="shared" ref="G5:G10" si="0">(F5-D5)/(D5-E5)</f>
        <v>-0.53293606055725551</v>
      </c>
      <c r="H5" s="25">
        <f t="shared" ref="H5:H10" si="1">C5*D5</f>
        <v>84.4773</v>
      </c>
      <c r="I5" s="26">
        <f t="shared" ref="I5:I10" si="2">H5/IF(ISBLANK(N5),LOOKUP(2,1/(N:N&lt;&gt;""),N:N),N5)</f>
        <v>0.69000264640154729</v>
      </c>
      <c r="J5" s="61">
        <v>45159</v>
      </c>
      <c r="K5" s="71">
        <f>Table224[[#This Row],[ENTRY PRICE]]+0.2</f>
        <v>1.0709</v>
      </c>
      <c r="L5" s="25">
        <f t="shared" ref="L5:L10" si="3">(K5-D5)*C5</f>
        <v>19.399999999999995</v>
      </c>
      <c r="M5" s="27">
        <f>IF(Table224[[#This Row],[EXIT PRICE]]=0,0,L5/H5)</f>
        <v>0.22964749110115967</v>
      </c>
      <c r="N5" s="28">
        <f>N4+Table224[[#This Row],[$ RETURN]]</f>
        <v>122.43040000000001</v>
      </c>
      <c r="O5" s="29">
        <f t="shared" ref="O5:O10" si="4">L5/N5</f>
        <v>0.15845737659927595</v>
      </c>
      <c r="P5" s="30" t="s">
        <v>23</v>
      </c>
      <c r="Q5" s="64">
        <f ca="1">IF(Table224[[#This Row],[DATE BUY]]&gt;0,MIN(   Table224[[#This Row],[DATE SELL]],    TODAY())-Table224[[#This Row],[DATE BUY]],     0)</f>
        <v>15</v>
      </c>
      <c r="R5"/>
    </row>
    <row r="6" spans="1:18" x14ac:dyDescent="0.3">
      <c r="A6" s="61">
        <v>45144</v>
      </c>
      <c r="B6" s="9" t="s">
        <v>24</v>
      </c>
      <c r="C6" s="9">
        <v>88</v>
      </c>
      <c r="D6" s="22">
        <v>0.52549999999999997</v>
      </c>
      <c r="E6" s="23">
        <v>0.5</v>
      </c>
      <c r="F6" s="23">
        <v>0.54</v>
      </c>
      <c r="G6" s="31">
        <f t="shared" si="0"/>
        <v>0.56862745098039558</v>
      </c>
      <c r="H6" s="25">
        <f t="shared" si="1"/>
        <v>46.244</v>
      </c>
      <c r="I6" s="26">
        <f t="shared" si="2"/>
        <v>0.39939060200507137</v>
      </c>
      <c r="J6" s="61">
        <v>45159</v>
      </c>
      <c r="K6" s="71">
        <v>0.45</v>
      </c>
      <c r="L6" s="25">
        <f t="shared" si="3"/>
        <v>-6.6439999999999966</v>
      </c>
      <c r="M6" s="27">
        <f>IF(Table224[[#This Row],[EXIT PRICE]]=0,0,L6/H6)</f>
        <v>-0.14367269267364408</v>
      </c>
      <c r="N6" s="28">
        <f>N5+Table224[[#This Row],[$ RETURN]]</f>
        <v>115.78640000000001</v>
      </c>
      <c r="O6" s="29">
        <f t="shared" si="4"/>
        <v>-5.7381523218616309E-2</v>
      </c>
      <c r="P6" s="30" t="s">
        <v>25</v>
      </c>
      <c r="Q6" s="64">
        <f ca="1">IF(Table224[[#This Row],[DATE BUY]]&gt;0,MIN(   Table224[[#This Row],[DATE SELL]],    TODAY())-Table224[[#This Row],[DATE BUY]],     0)</f>
        <v>15</v>
      </c>
      <c r="R6"/>
    </row>
    <row r="7" spans="1:18" x14ac:dyDescent="0.3">
      <c r="A7" s="61">
        <v>45175</v>
      </c>
      <c r="B7" s="9" t="s">
        <v>26</v>
      </c>
      <c r="C7" s="9">
        <v>70</v>
      </c>
      <c r="D7" s="22">
        <v>0.59299999999999997</v>
      </c>
      <c r="E7" s="23">
        <v>0.25</v>
      </c>
      <c r="F7" s="23">
        <v>0.77</v>
      </c>
      <c r="G7" s="31">
        <f t="shared" si="0"/>
        <v>0.51603498542274073</v>
      </c>
      <c r="H7" s="25">
        <f t="shared" si="1"/>
        <v>41.51</v>
      </c>
      <c r="I7" s="26">
        <f t="shared" si="2"/>
        <v>0.31983320286254951</v>
      </c>
      <c r="J7" s="61">
        <v>45190</v>
      </c>
      <c r="K7" s="71">
        <f>Table224[[#This Row],[ENTRY PRICE]]+0.2</f>
        <v>0.79299999999999993</v>
      </c>
      <c r="L7" s="25">
        <f t="shared" si="3"/>
        <v>13.999999999999996</v>
      </c>
      <c r="M7" s="27">
        <f>IF(Table224[[#This Row],[EXIT PRICE]]=0,0,L7/H7)</f>
        <v>0.33726812816188861</v>
      </c>
      <c r="N7" s="28">
        <f>N6+Table224[[#This Row],[$ RETURN]]</f>
        <v>129.78640000000001</v>
      </c>
      <c r="O7" s="29">
        <f t="shared" si="4"/>
        <v>0.10786954565347366</v>
      </c>
      <c r="P7" s="30" t="s">
        <v>19</v>
      </c>
      <c r="Q7" s="64">
        <f ca="1">IF(Table224[[#This Row],[DATE BUY]]&gt;0,MIN(   Table224[[#This Row],[DATE SELL]],    TODAY())-Table224[[#This Row],[DATE BUY]],     0)</f>
        <v>15</v>
      </c>
      <c r="R7"/>
    </row>
    <row r="8" spans="1:18" x14ac:dyDescent="0.3">
      <c r="A8" s="61">
        <v>45205</v>
      </c>
      <c r="B8" s="9" t="s">
        <v>27</v>
      </c>
      <c r="C8" s="9">
        <v>91</v>
      </c>
      <c r="D8" s="22">
        <v>1.1069</v>
      </c>
      <c r="E8" s="23">
        <v>0.5</v>
      </c>
      <c r="F8" s="23">
        <v>1.39</v>
      </c>
      <c r="G8" s="31">
        <f t="shared" si="0"/>
        <v>0.4664689405173833</v>
      </c>
      <c r="H8" s="25">
        <f t="shared" si="1"/>
        <v>100.72790000000001</v>
      </c>
      <c r="I8" s="26">
        <f t="shared" si="2"/>
        <v>0.68065646572928329</v>
      </c>
      <c r="J8" s="61">
        <v>45220</v>
      </c>
      <c r="K8" s="71">
        <f>Table224[[#This Row],[ENTRY PRICE]]+0.2</f>
        <v>1.3069</v>
      </c>
      <c r="L8" s="25">
        <f t="shared" si="3"/>
        <v>18.199999999999996</v>
      </c>
      <c r="M8" s="27">
        <f>IF(Table224[[#This Row],[EXIT PRICE]]=0,0,L8/H8)</f>
        <v>0.18068479537446919</v>
      </c>
      <c r="N8" s="28">
        <f>N7+Table224[[#This Row],[$ RETURN]]</f>
        <v>147.9864</v>
      </c>
      <c r="O8" s="29">
        <f t="shared" si="4"/>
        <v>0.12298427423060494</v>
      </c>
      <c r="P8" s="30" t="s">
        <v>21</v>
      </c>
      <c r="Q8" s="64">
        <f ca="1">IF(Table224[[#This Row],[DATE BUY]]&gt;0,MIN(   Table224[[#This Row],[DATE SELL]],    TODAY())-Table224[[#This Row],[DATE BUY]],     0)</f>
        <v>15</v>
      </c>
      <c r="R8"/>
    </row>
    <row r="9" spans="1:18" x14ac:dyDescent="0.3">
      <c r="A9" s="61">
        <v>45236</v>
      </c>
      <c r="B9" s="9" t="s">
        <v>28</v>
      </c>
      <c r="C9" s="9">
        <v>100</v>
      </c>
      <c r="D9" s="22">
        <v>0.76149999999999995</v>
      </c>
      <c r="E9" s="23">
        <v>0.25</v>
      </c>
      <c r="F9" s="23">
        <v>1</v>
      </c>
      <c r="G9" s="31">
        <f t="shared" si="0"/>
        <v>0.46627565982404706</v>
      </c>
      <c r="H9" s="25">
        <f t="shared" si="1"/>
        <v>76.149999999999991</v>
      </c>
      <c r="I9" s="26">
        <f t="shared" si="2"/>
        <v>0.45331050608858808</v>
      </c>
      <c r="J9" s="61">
        <v>45251</v>
      </c>
      <c r="K9" s="71">
        <f>Table224[[#This Row],[ENTRY PRICE]]+0.2</f>
        <v>0.96150000000000002</v>
      </c>
      <c r="L9" s="25">
        <f t="shared" si="3"/>
        <v>20.000000000000007</v>
      </c>
      <c r="M9" s="27">
        <f>IF(Table224[[#This Row],[EXIT PRICE]]=0,0,L9/H9)</f>
        <v>0.26263952724885109</v>
      </c>
      <c r="N9" s="28">
        <f>N8+Table224[[#This Row],[$ RETURN]]</f>
        <v>167.9864</v>
      </c>
      <c r="O9" s="29">
        <f t="shared" si="4"/>
        <v>0.11905725701604419</v>
      </c>
      <c r="P9" s="30" t="s">
        <v>23</v>
      </c>
      <c r="Q9" s="64">
        <f ca="1">IF(Table224[[#This Row],[DATE BUY]]&gt;0,MIN(   Table224[[#This Row],[DATE SELL]],    TODAY())-Table224[[#This Row],[DATE BUY]],     0)</f>
        <v>15</v>
      </c>
      <c r="R9"/>
    </row>
    <row r="10" spans="1:18" x14ac:dyDescent="0.3">
      <c r="A10" s="61">
        <v>45266</v>
      </c>
      <c r="B10" s="9" t="s">
        <v>29</v>
      </c>
      <c r="C10" s="9">
        <v>100</v>
      </c>
      <c r="D10" s="22">
        <v>0.82899999999999996</v>
      </c>
      <c r="E10" s="23">
        <v>0.5</v>
      </c>
      <c r="F10" s="23">
        <v>0.39</v>
      </c>
      <c r="G10" s="31">
        <f t="shared" si="0"/>
        <v>-1.3343465045592706</v>
      </c>
      <c r="H10" s="25">
        <f t="shared" si="1"/>
        <v>82.899999999999991</v>
      </c>
      <c r="I10" s="26">
        <f t="shared" si="2"/>
        <v>0.51784536350370791</v>
      </c>
      <c r="J10" s="61">
        <v>45281</v>
      </c>
      <c r="K10" s="71">
        <v>0.75</v>
      </c>
      <c r="L10" s="25">
        <f t="shared" si="3"/>
        <v>-7.8999999999999959</v>
      </c>
      <c r="M10" s="27">
        <f>IF(Table224[[#This Row],[EXIT PRICE]]=0,0,L10/H10)</f>
        <v>-9.5295536791314792E-2</v>
      </c>
      <c r="N10" s="28">
        <f>N9+Table224[[#This Row],[$ RETURN]]</f>
        <v>160.0864</v>
      </c>
      <c r="O10" s="29">
        <f t="shared" si="4"/>
        <v>-4.9348351889979387E-2</v>
      </c>
      <c r="P10" s="30" t="s">
        <v>25</v>
      </c>
      <c r="Q10" s="64">
        <f ca="1">IF(Table224[[#This Row],[DATE BUY]]&gt;0,MIN(   Table224[[#This Row],[DATE SELL]],    TODAY())-Table224[[#This Row],[DATE BUY]],     0)</f>
        <v>15</v>
      </c>
      <c r="R10"/>
    </row>
  </sheetData>
  <conditionalFormatting sqref="B1:B1048576">
    <cfRule type="expression" dxfId="10" priority="161">
      <formula>M1=0</formula>
    </cfRule>
  </conditionalFormatting>
  <conditionalFormatting sqref="G2:G3">
    <cfRule type="expression" dxfId="9" priority="170">
      <formula>G2&lt;1</formula>
    </cfRule>
    <cfRule type="expression" dxfId="8" priority="171">
      <formula>G2&gt;=2</formula>
    </cfRule>
  </conditionalFormatting>
  <conditionalFormatting sqref="G2:G9912">
    <cfRule type="expression" dxfId="7" priority="160">
      <formula>G2&lt;2</formula>
    </cfRule>
  </conditionalFormatting>
  <conditionalFormatting sqref="I1:I1048576">
    <cfRule type="iconSet" priority="159">
      <iconSet>
        <cfvo type="percent" val="0"/>
        <cfvo type="percent" val="33"/>
        <cfvo type="percent" val="67"/>
      </iconSet>
    </cfRule>
  </conditionalFormatting>
  <conditionalFormatting sqref="M2:M10">
    <cfRule type="cellIs" dxfId="6" priority="173" operator="lessThan">
      <formula>0</formula>
    </cfRule>
  </conditionalFormatting>
  <conditionalFormatting sqref="O2:O10 M2:M10">
    <cfRule type="cellIs" dxfId="5" priority="174" operator="greaterThan">
      <formula>0</formula>
    </cfRule>
  </conditionalFormatting>
  <conditionalFormatting sqref="O2:O10">
    <cfRule type="cellIs" dxfId="4" priority="168" operator="lessThan">
      <formula>0</formula>
    </cfRule>
    <cfRule type="cellIs" dxfId="3" priority="172" operator="greaterThan">
      <formula>0</formula>
    </cfRule>
  </conditionalFormatting>
  <conditionalFormatting sqref="O7:O10">
    <cfRule type="cellIs" dxfId="2" priority="167" operator="greaterThan">
      <formula>0</formula>
    </cfRule>
    <cfRule type="cellIs" dxfId="1" priority="169" operator="greaterThan">
      <formula>0</formula>
    </cfRule>
  </conditionalFormatting>
  <conditionalFormatting sqref="Q1:Q1048576">
    <cfRule type="colorScale" priority="177">
      <colorScale>
        <cfvo type="num" val="0"/>
        <cfvo type="num" val="$E$4"/>
        <color theme="0"/>
        <color rgb="FFFFEF9C"/>
      </colorScale>
    </cfRule>
  </conditionalFormatting>
  <pageMargins left="0.7" right="0.7" top="0.75" bottom="0.75" header="0.3" footer="0.3"/>
  <pageSetup paperSize="9" orientation="portrait" horizontalDpi="300" verticalDpi="300" r:id="rId1"/>
  <headerFooter>
    <oddFooter>&amp;C_x000D_&amp;1#&amp;"Calibri"&amp;11&amp;K0000FF C2 - Internal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28"/>
  <sheetViews>
    <sheetView showGridLines="0" zoomScale="90" zoomScaleNormal="90" workbookViewId="0">
      <selection activeCell="E2" sqref="E2"/>
    </sheetView>
  </sheetViews>
  <sheetFormatPr defaultRowHeight="14.4" x14ac:dyDescent="0.3"/>
  <cols>
    <col min="1" max="1" width="15.5546875" customWidth="1"/>
    <col min="3" max="3" width="12.6640625" bestFit="1" customWidth="1"/>
    <col min="4" max="4" width="13.33203125" customWidth="1"/>
    <col min="5" max="5" width="14" customWidth="1"/>
    <col min="6" max="6" width="11.109375" customWidth="1"/>
    <col min="12" max="12" width="12.6640625" bestFit="1" customWidth="1"/>
    <col min="16" max="16" width="13.44140625" customWidth="1"/>
    <col min="17" max="17" width="11.88671875" bestFit="1" customWidth="1"/>
    <col min="18" max="18" width="12.5546875" bestFit="1" customWidth="1"/>
  </cols>
  <sheetData>
    <row r="1" spans="1:18" s="7" customFormat="1" ht="20.25" customHeight="1" x14ac:dyDescent="0.3">
      <c r="A1" s="69" t="s">
        <v>30</v>
      </c>
      <c r="B1" s="69"/>
      <c r="C1" s="57"/>
      <c r="D1" s="58" t="s">
        <v>31</v>
      </c>
      <c r="E1" s="58" t="s">
        <v>32</v>
      </c>
      <c r="F1" s="58" t="s">
        <v>33</v>
      </c>
      <c r="G1" s="58" t="s">
        <v>34</v>
      </c>
      <c r="H1" s="58" t="s">
        <v>35</v>
      </c>
      <c r="I1" s="57"/>
      <c r="J1" s="57"/>
      <c r="K1" s="70" t="s">
        <v>36</v>
      </c>
      <c r="L1" s="70"/>
      <c r="M1" s="57"/>
      <c r="N1" s="57"/>
      <c r="O1" s="57"/>
      <c r="P1" s="66" t="s">
        <v>37</v>
      </c>
      <c r="Q1" s="66" t="s">
        <v>38</v>
      </c>
      <c r="R1" s="66" t="s">
        <v>39</v>
      </c>
    </row>
    <row r="2" spans="1:18" x14ac:dyDescent="0.3">
      <c r="A2" s="10" t="s">
        <v>40</v>
      </c>
      <c r="B2" s="11">
        <f>AVERAGE(Data!I:I)</f>
        <v>0.43061779014081053</v>
      </c>
      <c r="D2" s="38">
        <f>100</f>
        <v>100</v>
      </c>
      <c r="E2" s="38">
        <f>LOOKUP(2,1/(Data!N:N&lt;&gt;""),Data!N:N)-SUMIFS(Data!H:H,Data!D:D,"&gt;0",Data!M:M,"=0")</f>
        <v>160.0864</v>
      </c>
      <c r="F2" s="38">
        <f>LOOKUP(2,1/(Data!N:N&lt;&gt;""),Data!N:N)</f>
        <v>160.0864</v>
      </c>
      <c r="G2" s="39">
        <f>(F2-D2)/D2</f>
        <v>0.60086399999999995</v>
      </c>
      <c r="H2" s="40">
        <f>F2-D2</f>
        <v>60.086399999999998</v>
      </c>
      <c r="K2" s="10" t="s">
        <v>41</v>
      </c>
      <c r="L2" s="50">
        <v>1.44</v>
      </c>
      <c r="P2" s="44">
        <f>COUNTIF(Data!M:M,"&gt;0")</f>
        <v>5</v>
      </c>
      <c r="Q2" s="45">
        <f>COUNTIF(Data!M:M,"&lt;0")</f>
        <v>4</v>
      </c>
      <c r="R2" s="46">
        <f>P2/(Q2)</f>
        <v>1.25</v>
      </c>
    </row>
    <row r="3" spans="1:18" x14ac:dyDescent="0.3">
      <c r="A3" s="10" t="s">
        <v>42</v>
      </c>
      <c r="B3" s="43" t="s">
        <v>43</v>
      </c>
      <c r="K3" s="10" t="s">
        <v>44</v>
      </c>
      <c r="L3" s="50">
        <v>1.8</v>
      </c>
      <c r="P3" s="47">
        <f>(P2)/(P2+Q2)</f>
        <v>0.55555555555555558</v>
      </c>
      <c r="Q3" s="48">
        <f>100%-P3</f>
        <v>0.44444444444444442</v>
      </c>
      <c r="R3" s="49">
        <v>1</v>
      </c>
    </row>
    <row r="4" spans="1:18" x14ac:dyDescent="0.3">
      <c r="K4" s="10" t="s">
        <v>45</v>
      </c>
      <c r="L4" s="10">
        <v>65</v>
      </c>
    </row>
    <row r="5" spans="1:18" x14ac:dyDescent="0.3">
      <c r="A5" s="35" t="s">
        <v>46</v>
      </c>
      <c r="B5" s="35" t="s">
        <v>47</v>
      </c>
      <c r="C5" s="35" t="s">
        <v>48</v>
      </c>
      <c r="D5" s="35" t="s">
        <v>49</v>
      </c>
      <c r="K5" s="10" t="s">
        <v>50</v>
      </c>
      <c r="L5" s="51">
        <f>L4*L2</f>
        <v>93.6</v>
      </c>
    </row>
    <row r="6" spans="1:18" x14ac:dyDescent="0.3">
      <c r="A6" s="41">
        <f>(H2-0.1*D2)/_xlfn.STDEV.P(Data!N:N)</f>
        <v>2.0347961477992027</v>
      </c>
      <c r="B6" s="10">
        <f>COUNTIFS(Data!D:D,"&gt;0",Data!M:M,"=0")</f>
        <v>0</v>
      </c>
      <c r="C6" s="42">
        <f ca="1">SUMIF(Data!Q:Q,"&gt;0")/COUNTIF(Data!Q:Q,"&gt;0")</f>
        <v>15</v>
      </c>
      <c r="D6" s="8">
        <f>COUNTIF(Data!A:A,"&gt;0")</f>
        <v>9</v>
      </c>
      <c r="K6" s="10" t="s">
        <v>51</v>
      </c>
      <c r="L6" s="52">
        <f>(L3-L2)/L2</f>
        <v>0.25000000000000006</v>
      </c>
    </row>
    <row r="7" spans="1:18" x14ac:dyDescent="0.3">
      <c r="K7" s="10" t="s">
        <v>52</v>
      </c>
      <c r="L7" s="51">
        <f>(L3-L2)*L4</f>
        <v>23.400000000000006</v>
      </c>
    </row>
    <row r="8" spans="1:18" x14ac:dyDescent="0.3">
      <c r="A8" s="10" t="s">
        <v>53</v>
      </c>
      <c r="B8" s="54">
        <f>ABS(SUMIF(Data!M:M,"&gt;0",Data!O:O))/P2</f>
        <v>0.10940034225126652</v>
      </c>
      <c r="D8" s="59" t="s">
        <v>54</v>
      </c>
      <c r="E8" s="35"/>
      <c r="F8" s="35" t="s">
        <v>55</v>
      </c>
      <c r="G8" s="35" t="s">
        <v>56</v>
      </c>
    </row>
    <row r="9" spans="1:18" x14ac:dyDescent="0.3">
      <c r="A9" s="10" t="s">
        <v>57</v>
      </c>
      <c r="B9" s="54">
        <f>ABS(SUMIF(Data!M:M,"&lt;0",Data!O:O))/Q2</f>
        <v>3.2830247676694596E-2</v>
      </c>
      <c r="C9" s="10" t="s">
        <v>42</v>
      </c>
      <c r="D9" s="10" t="s">
        <v>58</v>
      </c>
      <c r="E9" s="54">
        <f>SUMIF(Data!M:M,"&gt;0",Data!M:M)/COUNTIF(Data!M:M,"&gt;0")</f>
        <v>0.22602557941368828</v>
      </c>
      <c r="F9" s="56">
        <f>AVERAGE(Data!H:H)</f>
        <v>57.128911111111115</v>
      </c>
      <c r="G9" s="38">
        <f>0.1*F2</f>
        <v>16.00864</v>
      </c>
    </row>
    <row r="10" spans="1:18" x14ac:dyDescent="0.3">
      <c r="A10" s="35" t="s">
        <v>59</v>
      </c>
      <c r="B10" s="33">
        <f>B8/IF(B9=0,1,B9)</f>
        <v>3.3323032871581773</v>
      </c>
      <c r="C10" s="55">
        <v>2</v>
      </c>
      <c r="D10" s="10" t="s">
        <v>60</v>
      </c>
      <c r="E10" s="54">
        <f>SUMIF(Data!M:M,"&lt;0",Data!M:M)/COUNTIF(Data!M:M,"&lt;0")</f>
        <v>-8.6695857020816544E-2</v>
      </c>
      <c r="F10" s="53"/>
    </row>
    <row r="11" spans="1:18" x14ac:dyDescent="0.3">
      <c r="C11" s="67" t="s">
        <v>61</v>
      </c>
      <c r="D11" s="67"/>
      <c r="E11" s="38">
        <f>(P3*E9+(1-P3)*E10)*F9*250</f>
        <v>1243.1004593898506</v>
      </c>
    </row>
    <row r="13" spans="1:18" x14ac:dyDescent="0.3">
      <c r="E13" s="68" t="s">
        <v>62</v>
      </c>
      <c r="F13" s="68"/>
    </row>
    <row r="14" spans="1:18" x14ac:dyDescent="0.3">
      <c r="A14" s="34" t="s">
        <v>63</v>
      </c>
      <c r="B14" s="34" t="s">
        <v>64</v>
      </c>
      <c r="C14" s="34" t="s">
        <v>65</v>
      </c>
      <c r="D14" s="34" t="s">
        <v>66</v>
      </c>
      <c r="E14" s="34" t="s">
        <v>67</v>
      </c>
      <c r="F14" s="34" t="s">
        <v>68</v>
      </c>
      <c r="G14" s="34" t="s">
        <v>69</v>
      </c>
    </row>
    <row r="15" spans="1:18" x14ac:dyDescent="0.3">
      <c r="A15" s="32" t="s">
        <v>70</v>
      </c>
      <c r="B15" s="10">
        <f>SUMPRODUCT(--(ISNUMBER(FIND(A15,Data!P:P))))</f>
        <v>0</v>
      </c>
      <c r="C15" s="10">
        <f>COUNTIFS(Data!M:M,"&gt;0",Data!P:P,CONCATENATE(A15,"*"))</f>
        <v>0</v>
      </c>
      <c r="D15" s="36" t="str">
        <f>IFERROR(C15/(B15-C15),"-")</f>
        <v>-</v>
      </c>
      <c r="E15" s="37" t="str">
        <f>IFERROR(SUMIFS(Data!M:M,Data!M:M,"&gt;0",Data!P:P,CONCATENATE(A15,"*"))/COUNTIFS(Data!M:M,"&gt;0",Data!P:P,CONCATENATE(A15,"*")),"-")</f>
        <v>-</v>
      </c>
      <c r="F15" s="37" t="str">
        <f>IFERROR(SUMIFS(Data!M:M,Data!M:M,"&lt;0",Data!P:P,CONCATENATE(A15,"*"))/COUNTIFS(Data!M:M,"&lt;0",Data!P:P,CONCATENATE(A15,"*")),"-")</f>
        <v>-</v>
      </c>
      <c r="G15" s="33" t="str">
        <f>IFERROR(E15/ABS(F15),"-")</f>
        <v>-</v>
      </c>
    </row>
    <row r="16" spans="1:18" x14ac:dyDescent="0.3">
      <c r="A16" s="10" t="s">
        <v>19</v>
      </c>
      <c r="B16" s="10">
        <f>SUMPRODUCT(--(ISNUMBER(FIND(A16,Data!P:P))))</f>
        <v>2</v>
      </c>
      <c r="C16" s="10">
        <f>COUNTIFS(Data!M:M,"&gt;0",Data!P:P,CONCATENATE(A16,"*"))</f>
        <v>1</v>
      </c>
      <c r="D16" s="36">
        <f>IFERROR(C16/(B16-C16),"-")</f>
        <v>1</v>
      </c>
      <c r="E16" s="37">
        <f>IFERROR(SUMIFS(Data!M:M,Data!M:M,"&gt;0",Data!P:P,CONCATENATE(A16,"*"))/COUNTIFS(Data!M:M,"&gt;0",Data!P:P,CONCATENATE(A16,"*")),"-")</f>
        <v>0.33726812816188861</v>
      </c>
      <c r="F16" s="37">
        <f>IFERROR(SUMIFS(Data!M:M,Data!M:M,"&lt;0",Data!P:P,CONCATENATE(A16,"*"))/COUNTIFS(Data!M:M,"&lt;0",Data!P:P,CONCATENATE(A16,"*")),"-")</f>
        <v>-3.2815198618307263E-2</v>
      </c>
      <c r="G16" s="33">
        <f t="shared" ref="G16:G19" si="0">IFERROR(E16/ABS(F16),"-")</f>
        <v>10.277802431880762</v>
      </c>
    </row>
    <row r="17" spans="1:7" x14ac:dyDescent="0.3">
      <c r="A17" s="10" t="s">
        <v>21</v>
      </c>
      <c r="B17" s="10">
        <f>SUMPRODUCT(--(ISNUMBER(FIND(A17,Data!P:P))))</f>
        <v>2</v>
      </c>
      <c r="C17" s="10">
        <f>COUNTIFS(Data!M:M,"&gt;0",Data!P:P,CONCATENATE(A17,"*"))</f>
        <v>2</v>
      </c>
      <c r="D17" s="36" t="str">
        <f>IFERROR(C17/(B17-C17),"-")</f>
        <v>-</v>
      </c>
      <c r="E17" s="37">
        <f>IFERROR(SUMIFS(Data!M:M,Data!M:M,"&gt;0",Data!P:P,CONCATENATE(A17,"*"))/COUNTIFS(Data!M:M,"&gt;0",Data!P:P,CONCATENATE(A17,"*")),"-")</f>
        <v>0.15028637527827102</v>
      </c>
      <c r="F17" s="37" t="str">
        <f>IFERROR(SUMIFS(Data!M:M,Data!M:M,"&lt;0",Data!P:P,CONCATENATE(A17,"*"))/COUNTIFS(Data!M:M,"&lt;0",Data!P:P,CONCATENATE(A17,"*")),"-")</f>
        <v>-</v>
      </c>
      <c r="G17" s="33" t="str">
        <f t="shared" si="0"/>
        <v>-</v>
      </c>
    </row>
    <row r="18" spans="1:7" x14ac:dyDescent="0.3">
      <c r="A18" s="10" t="s">
        <v>23</v>
      </c>
      <c r="B18" s="10">
        <f>SUMPRODUCT(--(ISNUMBER(FIND(A18,Data!P:P))))</f>
        <v>2</v>
      </c>
      <c r="C18" s="10">
        <f>COUNTIFS(Data!M:M,"&gt;0",Data!P:P,CONCATENATE(A18,"*"))</f>
        <v>2</v>
      </c>
      <c r="D18" s="36">
        <f>IFERROR(C18/IF(B18=C18,B18,(B18-C18)),"-")</f>
        <v>1</v>
      </c>
      <c r="E18" s="37">
        <f>IFERROR(SUMIFS(Data!M:M,Data!M:M,"&gt;0",Data!P:P,CONCATENATE(A18,"*"))/COUNTIFS(Data!M:M,"&gt;0",Data!P:P,CONCATENATE(A18,"*")),"-")</f>
        <v>0.24614350917500538</v>
      </c>
      <c r="F18" s="37" t="str">
        <f>IFERROR(SUMIFS(Data!M:M,Data!M:M,"&lt;0",Data!P:P,CONCATENATE(A18,"*"))/COUNTIFS(Data!M:M,"&lt;0",Data!P:P,CONCATENATE(A18,"*")),"-")</f>
        <v>-</v>
      </c>
      <c r="G18" s="33" t="str">
        <f t="shared" si="0"/>
        <v>-</v>
      </c>
    </row>
    <row r="19" spans="1:7" x14ac:dyDescent="0.3">
      <c r="A19" s="10" t="s">
        <v>25</v>
      </c>
      <c r="B19" s="10">
        <f>SUMPRODUCT(--(ISNUMBER(FIND(A19,Data!P:P))))</f>
        <v>2</v>
      </c>
      <c r="C19" s="10">
        <f>COUNTIFS(Data!M:M,"&gt;0",Data!P:P,CONCATENATE(A19,"*"))</f>
        <v>0</v>
      </c>
      <c r="D19" s="36">
        <f>IFERROR(C19/IF(B19=C19,B19,(B19-C19)),"-")</f>
        <v>0</v>
      </c>
      <c r="E19" s="37" t="str">
        <f>IFERROR(SUMIFS(Data!M:M,Data!M:M,"&gt;0",Data!P:P,CONCATENATE(A19,"*"))/COUNTIFS(Data!M:M,"&gt;0",Data!P:P,CONCATENATE(A19,"*")),"-")</f>
        <v>-</v>
      </c>
      <c r="F19" s="37">
        <f>IFERROR(SUMIFS(Data!M:M,Data!M:M,"&lt;0",Data!P:P,CONCATENATE(A19,"*"))/COUNTIFS(Data!M:M,"&lt;0",Data!P:P,CONCATENATE(A19,"*")),"-")</f>
        <v>-0.11948411473247944</v>
      </c>
      <c r="G19" s="33" t="str">
        <f t="shared" si="0"/>
        <v>-</v>
      </c>
    </row>
    <row r="20" spans="1:7" x14ac:dyDescent="0.3">
      <c r="E20" s="12"/>
    </row>
    <row r="21" spans="1:7" x14ac:dyDescent="0.3">
      <c r="A21" t="s">
        <v>71</v>
      </c>
      <c r="B21" t="s">
        <v>72</v>
      </c>
    </row>
    <row r="22" spans="1:7" x14ac:dyDescent="0.3">
      <c r="A22" t="s">
        <v>70</v>
      </c>
      <c r="B22" t="s">
        <v>73</v>
      </c>
    </row>
    <row r="23" spans="1:7" x14ac:dyDescent="0.3">
      <c r="A23" t="s">
        <v>19</v>
      </c>
      <c r="B23" t="s">
        <v>74</v>
      </c>
    </row>
    <row r="24" spans="1:7" x14ac:dyDescent="0.3">
      <c r="A24" t="s">
        <v>21</v>
      </c>
      <c r="B24" t="s">
        <v>75</v>
      </c>
    </row>
    <row r="25" spans="1:7" x14ac:dyDescent="0.3">
      <c r="A25" t="s">
        <v>23</v>
      </c>
      <c r="B25" t="s">
        <v>76</v>
      </c>
    </row>
    <row r="26" spans="1:7" x14ac:dyDescent="0.3">
      <c r="A26" t="s">
        <v>25</v>
      </c>
      <c r="B26" t="s">
        <v>77</v>
      </c>
    </row>
    <row r="128" spans="7:7" x14ac:dyDescent="0.3">
      <c r="G128" s="13"/>
    </row>
  </sheetData>
  <mergeCells count="4">
    <mergeCell ref="C11:D11"/>
    <mergeCell ref="E13:F13"/>
    <mergeCell ref="A1:B1"/>
    <mergeCell ref="K1:L1"/>
  </mergeCells>
  <pageMargins left="0.7" right="0.7" top="0.75" bottom="0.75" header="0.3" footer="0.3"/>
  <pageSetup orientation="portrait" r:id="rId1"/>
  <headerFooter>
    <oddFooter>&amp;C_x000D_&amp;1#&amp;"Calibri"&amp;11&amp;K0000FF C2 - Internal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Data</vt:lpstr>
      <vt:lpstr>Dashboard and Summary</vt:lpstr>
    </vt:vector>
  </TitlesOfParts>
  <Manager/>
  <Company>Northrop Grumman Corporation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Hafiz</dc:creator>
  <cp:keywords/>
  <dc:description/>
  <cp:lastModifiedBy>Satch Trader</cp:lastModifiedBy>
  <cp:revision/>
  <dcterms:created xsi:type="dcterms:W3CDTF">2020-08-04T16:57:53Z</dcterms:created>
  <dcterms:modified xsi:type="dcterms:W3CDTF">2024-07-12T19:28:28Z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8363a7e-e196-4321-b416-0da59d91cc69_Enabled">
    <vt:lpwstr>true</vt:lpwstr>
  </property>
  <property fmtid="{D5CDD505-2E9C-101B-9397-08002B2CF9AE}" pid="3" name="MSIP_Label_98363a7e-e196-4321-b416-0da59d91cc69_SetDate">
    <vt:lpwstr>2024-07-10T17:40:24Z</vt:lpwstr>
  </property>
  <property fmtid="{D5CDD505-2E9C-101B-9397-08002B2CF9AE}" pid="4" name="MSIP_Label_98363a7e-e196-4321-b416-0da59d91cc69_Method">
    <vt:lpwstr>Standard</vt:lpwstr>
  </property>
  <property fmtid="{D5CDD505-2E9C-101B-9397-08002B2CF9AE}" pid="5" name="MSIP_Label_98363a7e-e196-4321-b416-0da59d91cc69_Name">
    <vt:lpwstr>98363a7e-e196-4321-b416-0da59d91cc69</vt:lpwstr>
  </property>
  <property fmtid="{D5CDD505-2E9C-101B-9397-08002B2CF9AE}" pid="6" name="MSIP_Label_98363a7e-e196-4321-b416-0da59d91cc69_SiteId">
    <vt:lpwstr>b426991c-4e11-4b97-8cdd-a962846b0120</vt:lpwstr>
  </property>
  <property fmtid="{D5CDD505-2E9C-101B-9397-08002B2CF9AE}" pid="7" name="MSIP_Label_98363a7e-e196-4321-b416-0da59d91cc69_ActionId">
    <vt:lpwstr>d08604c9-82b7-488d-938f-4f97ccaac0a6</vt:lpwstr>
  </property>
  <property fmtid="{D5CDD505-2E9C-101B-9397-08002B2CF9AE}" pid="8" name="MSIP_Label_98363a7e-e196-4321-b416-0da59d91cc69_ContentBits">
    <vt:lpwstr>2</vt:lpwstr>
  </property>
</Properties>
</file>