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shoaib.ali\Downloads\"/>
    </mc:Choice>
  </mc:AlternateContent>
  <xr:revisionPtr revIDLastSave="0" documentId="13_ncr:1_{B429B3AD-AFBA-4177-B628-4BDFDBCBB5D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2" r:id="rId1"/>
    <sheet name="Dashboard and Summary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0" i="2" l="1"/>
  <c r="Q9" i="2"/>
  <c r="Q8" i="2"/>
  <c r="Q7" i="2"/>
  <c r="Q6" i="2"/>
  <c r="Q5" i="2"/>
  <c r="K9" i="2"/>
  <c r="L9" i="2" s="1"/>
  <c r="M9" i="2" s="1"/>
  <c r="K8" i="2"/>
  <c r="L8" i="2" s="1"/>
  <c r="M8" i="2" s="1"/>
  <c r="K7" i="2"/>
  <c r="K5" i="2"/>
  <c r="L10" i="2"/>
  <c r="M10" i="2" s="1"/>
  <c r="L6" i="2"/>
  <c r="M6" i="2" s="1"/>
  <c r="L5" i="2"/>
  <c r="H10" i="2"/>
  <c r="H9" i="2"/>
  <c r="H8" i="2"/>
  <c r="H7" i="2"/>
  <c r="H6" i="2"/>
  <c r="H5" i="2"/>
  <c r="G10" i="2"/>
  <c r="G9" i="2"/>
  <c r="G8" i="2"/>
  <c r="G7" i="2"/>
  <c r="G6" i="2"/>
  <c r="G5" i="2"/>
  <c r="Q4" i="2"/>
  <c r="D4" i="2"/>
  <c r="L4" i="2" s="1"/>
  <c r="Q3" i="2"/>
  <c r="L3" i="2"/>
  <c r="H3" i="2"/>
  <c r="M3" i="2" s="1"/>
  <c r="G3" i="2"/>
  <c r="Q2" i="2"/>
  <c r="L2" i="2"/>
  <c r="M2" i="2" s="1"/>
  <c r="H2" i="2"/>
  <c r="G2" i="2"/>
  <c r="L7" i="2" l="1"/>
  <c r="M7" i="2" s="1"/>
  <c r="M5" i="2"/>
  <c r="G4" i="2"/>
  <c r="H4" i="2"/>
  <c r="M4" i="2" s="1"/>
  <c r="F17" i="1" s="1"/>
  <c r="B19" i="1"/>
  <c r="B18" i="1"/>
  <c r="B17" i="1"/>
  <c r="B16" i="1"/>
  <c r="B15" i="1"/>
  <c r="L7" i="1"/>
  <c r="L6" i="1"/>
  <c r="L5" i="1"/>
  <c r="D6" i="1"/>
  <c r="D2" i="1"/>
  <c r="N2" i="2" s="1"/>
  <c r="O2" i="2" s="1"/>
  <c r="E17" i="1" l="1"/>
  <c r="F18" i="1"/>
  <c r="E18" i="1"/>
  <c r="F19" i="1"/>
  <c r="E19" i="1"/>
  <c r="G19" i="1" s="1"/>
  <c r="F16" i="1"/>
  <c r="F15" i="1"/>
  <c r="E15" i="1"/>
  <c r="E16" i="1"/>
  <c r="G16" i="1" s="1"/>
  <c r="G17" i="1"/>
  <c r="I2" i="2"/>
  <c r="N3" i="2"/>
  <c r="F9" i="1"/>
  <c r="C6" i="1"/>
  <c r="G15" i="1" l="1"/>
  <c r="G18" i="1"/>
  <c r="N4" i="2"/>
  <c r="N5" i="2" s="1"/>
  <c r="O3" i="2"/>
  <c r="I3" i="2"/>
  <c r="E9" i="1"/>
  <c r="N6" i="2" l="1"/>
  <c r="I6" i="2" s="1"/>
  <c r="O5" i="2"/>
  <c r="I5" i="2"/>
  <c r="O4" i="2"/>
  <c r="I4" i="2"/>
  <c r="C18" i="1"/>
  <c r="D18" i="1" s="1"/>
  <c r="C15" i="1"/>
  <c r="D15" i="1" s="1"/>
  <c r="C19" i="1"/>
  <c r="D19" i="1" s="1"/>
  <c r="E10" i="1"/>
  <c r="B6" i="1"/>
  <c r="P2" i="1"/>
  <c r="C16" i="1"/>
  <c r="D16" i="1" s="1"/>
  <c r="Q2" i="1"/>
  <c r="C17" i="1"/>
  <c r="D17" i="1" s="1"/>
  <c r="R2" i="1" l="1"/>
  <c r="P3" i="1"/>
  <c r="Q3" i="1" s="1"/>
  <c r="N7" i="2"/>
  <c r="O6" i="2"/>
  <c r="E11" i="1" l="1"/>
  <c r="N8" i="2"/>
  <c r="O7" i="2"/>
  <c r="I7" i="2"/>
  <c r="I8" i="2" l="1"/>
  <c r="N9" i="2"/>
  <c r="O8" i="2"/>
  <c r="I9" i="2" l="1"/>
  <c r="N10" i="2"/>
  <c r="O9" i="2"/>
  <c r="O10" i="2" l="1"/>
  <c r="I10" i="2"/>
  <c r="B2" i="1" s="1"/>
  <c r="E2" i="1"/>
  <c r="F2" i="1"/>
  <c r="B8" i="1" l="1"/>
  <c r="B9" i="1"/>
  <c r="G2" i="1"/>
  <c r="G9" i="1"/>
  <c r="H2" i="1"/>
  <c r="A6" i="1" s="1"/>
  <c r="B10" i="1" l="1"/>
</calcChain>
</file>

<file path=xl/sharedStrings.xml><?xml version="1.0" encoding="utf-8"?>
<sst xmlns="http://schemas.openxmlformats.org/spreadsheetml/2006/main" count="94" uniqueCount="79">
  <si>
    <t>Avg Position Size</t>
  </si>
  <si>
    <t>Available Cash</t>
  </si>
  <si>
    <t>Return %</t>
  </si>
  <si>
    <t>Return $</t>
  </si>
  <si>
    <t>DATE BUY</t>
  </si>
  <si>
    <t>TICK</t>
  </si>
  <si>
    <t>SHARE</t>
  </si>
  <si>
    <t>BUY PRICE</t>
  </si>
  <si>
    <t>STOP LOSS</t>
  </si>
  <si>
    <t>PRICE TARGET</t>
  </si>
  <si>
    <t>RISK RATIO</t>
  </si>
  <si>
    <t>EQUITY</t>
  </si>
  <si>
    <t>% of Cap.</t>
  </si>
  <si>
    <t>DATE SELL</t>
  </si>
  <si>
    <t>SELL PRICE</t>
  </si>
  <si>
    <t>$ RETURN</t>
  </si>
  <si>
    <t>% RETURN</t>
  </si>
  <si>
    <t>Capital</t>
  </si>
  <si>
    <t>% CAPITAL</t>
  </si>
  <si>
    <t>CODE</t>
  </si>
  <si>
    <t>Days Held</t>
  </si>
  <si>
    <t>NOTES</t>
  </si>
  <si>
    <t>DLPN</t>
  </si>
  <si>
    <t>BREAKOUT</t>
  </si>
  <si>
    <t>Goal</t>
  </si>
  <si>
    <t>11-15%</t>
  </si>
  <si>
    <t>SHARPE</t>
  </si>
  <si>
    <t>Open Pos</t>
  </si>
  <si>
    <t>Avg. Day Hold</t>
  </si>
  <si>
    <t>All Trades</t>
  </si>
  <si>
    <t>NTEC</t>
  </si>
  <si>
    <t>DAYTRADE</t>
  </si>
  <si>
    <t>%  Calculator</t>
  </si>
  <si>
    <t>RTW</t>
  </si>
  <si>
    <t>SWINGDIPBUY</t>
  </si>
  <si>
    <t>Buy</t>
  </si>
  <si>
    <t>Sell</t>
  </si>
  <si>
    <t>Shares</t>
  </si>
  <si>
    <t>Pos. Sz</t>
  </si>
  <si>
    <t>Gain</t>
  </si>
  <si>
    <t>Gain $</t>
  </si>
  <si>
    <t>Wins / Win%</t>
  </si>
  <si>
    <t>WL Ratio</t>
  </si>
  <si>
    <t>2R(+)$ % of CAP</t>
  </si>
  <si>
    <t>Average % Return</t>
  </si>
  <si>
    <t>Avg. Sz</t>
  </si>
  <si>
    <t>Goal Sz</t>
  </si>
  <si>
    <t>1R(-)$ % of CAP</t>
  </si>
  <si>
    <t>(+)</t>
  </si>
  <si>
    <t>Profit Ratio</t>
  </si>
  <si>
    <t>(-)</t>
  </si>
  <si>
    <t>Exp. Ret. 250 Trades</t>
  </si>
  <si>
    <t>Average</t>
  </si>
  <si>
    <t xml:space="preserve">Total </t>
  </si>
  <si>
    <t>Wins</t>
  </si>
  <si>
    <t>PNL</t>
  </si>
  <si>
    <t>Profit%</t>
  </si>
  <si>
    <t>Loss%</t>
  </si>
  <si>
    <t>+R/-R</t>
  </si>
  <si>
    <t>INVEST</t>
  </si>
  <si>
    <t>CONSOLIDATION</t>
  </si>
  <si>
    <t>Tag</t>
  </si>
  <si>
    <t>Definition</t>
  </si>
  <si>
    <t>Momentum on the daily, dip to supp on hrly</t>
  </si>
  <si>
    <t>Scalp play or Cup on 5min</t>
  </si>
  <si>
    <t>Momo. On daily. 4 day-10 day hold. Fundamental play</t>
  </si>
  <si>
    <t>BO of consolidation/resistance. On 15min-1hr</t>
  </si>
  <si>
    <t xml:space="preserve">Consolidating after recent big volume green move. </t>
  </si>
  <si>
    <t>CODES</t>
  </si>
  <si>
    <t>% of Capital</t>
  </si>
  <si>
    <t>Initial Capital</t>
  </si>
  <si>
    <t>Last Capital</t>
  </si>
  <si>
    <t>DDOG</t>
  </si>
  <si>
    <t>SQQQ</t>
  </si>
  <si>
    <t>UVXY</t>
  </si>
  <si>
    <t>FEAC</t>
  </si>
  <si>
    <t>RKT</t>
  </si>
  <si>
    <t>CMPS</t>
  </si>
  <si>
    <t>Loss / Loss%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</si>
</sst>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_(&quot;$&quot;* #,##0.0_);_(&quot;$&quot;* \(#,##0.0\);_(&quot;$&quot;* &quot;-&quot;??_);_(@_)"/>
    <numFmt numFmtId="166" formatCode="_(&quot;$&quot;* #,##0_);_(&quot;$&quot;* \(#,##0\);_(&quot;$&quot;* &quot;-&quot;??_);_(@_)"/>
    <numFmt numFmtId="167" formatCode="_(&quot;$&quot;* #,##0.000_);_(&quot;$&quot;* \(#,##0.000\);_(&quot;$&quot;* &quot;-&quot;??_);_(@_)"/>
    <numFmt numFmtId="168" formatCode="_(* #,##0_);_(* \(#,##0\);_(* &quot;-&quot;??_);_(@_)"/>
    <numFmt numFmtId="169" formatCode="0.0"/>
    <numFmt numFmtId="170" formatCode="_(* #,##0.0_);_(* \(#,##0.0\);_(* &quot;-&quot;??_);_(@_)"/>
    <numFmt numFmtId="171" formatCode="[$-409]dd\-mmm\-yy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0" applyFont="1"/>
    <xf numFmtId="165" fontId="3" fillId="0" borderId="0" xfId="2" applyNumberFormat="1" applyFont="1" applyFill="1" applyBorder="1"/>
    <xf numFmtId="9" fontId="3" fillId="0" borderId="0" xfId="3" applyFont="1" applyFill="1" applyBorder="1"/>
    <xf numFmtId="165" fontId="3" fillId="0" borderId="0" xfId="0" applyNumberFormat="1" applyFont="1"/>
    <xf numFmtId="9" fontId="2" fillId="0" borderId="0" xfId="3" applyFont="1" applyFill="1" applyBorder="1" applyAlignment="1">
      <alignment horizontal="center"/>
    </xf>
    <xf numFmtId="166" fontId="3" fillId="0" borderId="0" xfId="2" applyNumberFormat="1" applyFont="1" applyFill="1" applyBorder="1"/>
    <xf numFmtId="0" fontId="7" fillId="0" borderId="0" xfId="0" applyFont="1"/>
    <xf numFmtId="1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/>
    <xf numFmtId="164" fontId="0" fillId="0" borderId="1" xfId="3" applyNumberFormat="1" applyFont="1" applyBorder="1"/>
    <xf numFmtId="9" fontId="0" fillId="0" borderId="0" xfId="3" applyFont="1"/>
    <xf numFmtId="16" fontId="0" fillId="0" borderId="0" xfId="0" applyNumberFormat="1"/>
    <xf numFmtId="0" fontId="5" fillId="0" borderId="0" xfId="0" applyFont="1" applyAlignment="1">
      <alignment vertical="center"/>
    </xf>
    <xf numFmtId="16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4" fontId="4" fillId="0" borderId="0" xfId="2" applyFont="1" applyFill="1" applyBorder="1" applyAlignment="1">
      <alignment horizontal="center" vertical="center" wrapText="1"/>
    </xf>
    <xf numFmtId="164" fontId="4" fillId="4" borderId="0" xfId="3" applyNumberFormat="1" applyFont="1" applyFill="1" applyBorder="1" applyAlignment="1">
      <alignment horizontal="center" vertical="center" wrapText="1"/>
    </xf>
    <xf numFmtId="165" fontId="4" fillId="4" borderId="0" xfId="2" applyNumberFormat="1" applyFont="1" applyFill="1" applyBorder="1" applyAlignment="1">
      <alignment horizontal="center" vertical="center" wrapText="1"/>
    </xf>
    <xf numFmtId="9" fontId="4" fillId="4" borderId="0" xfId="3" applyFont="1" applyFill="1" applyBorder="1" applyAlignment="1">
      <alignment horizontal="center" vertical="center" wrapText="1"/>
    </xf>
    <xf numFmtId="166" fontId="4" fillId="4" borderId="0" xfId="2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171" fontId="0" fillId="0" borderId="0" xfId="0" applyNumberFormat="1" applyAlignment="1">
      <alignment horizontal="left"/>
    </xf>
    <xf numFmtId="167" fontId="5" fillId="0" borderId="0" xfId="2" applyNumberFormat="1" applyFont="1" applyFill="1" applyBorder="1" applyAlignment="1"/>
    <xf numFmtId="44" fontId="0" fillId="0" borderId="0" xfId="2" applyFont="1" applyFill="1" applyBorder="1" applyAlignment="1"/>
    <xf numFmtId="39" fontId="0" fillId="3" borderId="0" xfId="3" applyNumberFormat="1" applyFont="1" applyFill="1" applyBorder="1" applyAlignment="1"/>
    <xf numFmtId="165" fontId="0" fillId="3" borderId="0" xfId="2" applyNumberFormat="1" applyFont="1" applyFill="1" applyBorder="1" applyAlignment="1"/>
    <xf numFmtId="9" fontId="0" fillId="3" borderId="0" xfId="3" applyFont="1" applyFill="1" applyBorder="1" applyAlignment="1">
      <alignment horizontal="center"/>
    </xf>
    <xf numFmtId="44" fontId="0" fillId="0" borderId="0" xfId="2" applyFont="1" applyFill="1" applyBorder="1" applyAlignment="1">
      <alignment horizontal="left"/>
    </xf>
    <xf numFmtId="9" fontId="5" fillId="3" borderId="0" xfId="3" applyFont="1" applyFill="1" applyBorder="1" applyAlignment="1">
      <alignment horizontal="center"/>
    </xf>
    <xf numFmtId="166" fontId="0" fillId="3" borderId="0" xfId="2" applyNumberFormat="1" applyFont="1" applyFill="1" applyBorder="1" applyAlignment="1">
      <alignment horizontal="right"/>
    </xf>
    <xf numFmtId="164" fontId="0" fillId="3" borderId="0" xfId="3" applyNumberFormat="1" applyFont="1" applyFill="1" applyBorder="1" applyAlignment="1">
      <alignment horizontal="right"/>
    </xf>
    <xf numFmtId="0" fontId="0" fillId="0" borderId="0" xfId="0" applyAlignment="1">
      <alignment horizontal="left"/>
    </xf>
    <xf numFmtId="168" fontId="0" fillId="0" borderId="0" xfId="1" applyNumberFormat="1" applyFont="1" applyFill="1" applyBorder="1"/>
    <xf numFmtId="43" fontId="0" fillId="3" borderId="0" xfId="1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2" fontId="0" fillId="0" borderId="1" xfId="0" applyNumberFormat="1" applyBorder="1"/>
    <xf numFmtId="0" fontId="6" fillId="2" borderId="1" xfId="0" applyFont="1" applyFill="1" applyBorder="1"/>
    <xf numFmtId="0" fontId="4" fillId="2" borderId="1" xfId="0" applyFont="1" applyFill="1" applyBorder="1"/>
    <xf numFmtId="2" fontId="0" fillId="0" borderId="1" xfId="3" applyNumberFormat="1" applyFont="1" applyFill="1" applyBorder="1"/>
    <xf numFmtId="164" fontId="0" fillId="0" borderId="1" xfId="3" applyNumberFormat="1" applyFont="1" applyFill="1" applyBorder="1"/>
    <xf numFmtId="166" fontId="0" fillId="0" borderId="1" xfId="2" applyNumberFormat="1" applyFont="1" applyBorder="1"/>
    <xf numFmtId="9" fontId="0" fillId="0" borderId="1" xfId="3" applyFont="1" applyBorder="1"/>
    <xf numFmtId="166" fontId="0" fillId="0" borderId="1" xfId="0" applyNumberFormat="1" applyBorder="1"/>
    <xf numFmtId="43" fontId="0" fillId="0" borderId="1" xfId="1" applyFont="1" applyBorder="1"/>
    <xf numFmtId="169" fontId="0" fillId="0" borderId="1" xfId="0" applyNumberFormat="1" applyBorder="1"/>
    <xf numFmtId="169" fontId="0" fillId="5" borderId="1" xfId="0" applyNumberFormat="1" applyFill="1" applyBorder="1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9" fontId="0" fillId="0" borderId="1" xfId="3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169" fontId="0" fillId="5" borderId="1" xfId="0" applyNumberFormat="1" applyFill="1" applyBorder="1" applyAlignment="1">
      <alignment horizontal="center"/>
    </xf>
    <xf numFmtId="44" fontId="0" fillId="0" borderId="1" xfId="2" applyFont="1" applyBorder="1"/>
    <xf numFmtId="165" fontId="0" fillId="5" borderId="1" xfId="2" applyNumberFormat="1" applyFont="1" applyFill="1" applyBorder="1"/>
    <xf numFmtId="164" fontId="0" fillId="5" borderId="1" xfId="3" applyNumberFormat="1" applyFont="1" applyFill="1" applyBorder="1"/>
    <xf numFmtId="170" fontId="0" fillId="0" borderId="0" xfId="1" applyNumberFormat="1" applyFont="1" applyBorder="1"/>
    <xf numFmtId="10" fontId="0" fillId="0" borderId="1" xfId="3" applyNumberFormat="1" applyFont="1" applyBorder="1"/>
    <xf numFmtId="0" fontId="0" fillId="5" borderId="1" xfId="0" applyFill="1" applyBorder="1"/>
    <xf numFmtId="165" fontId="0" fillId="0" borderId="1" xfId="2" applyNumberFormat="1" applyFont="1" applyBorder="1"/>
    <xf numFmtId="0" fontId="4" fillId="2" borderId="1" xfId="0" applyFont="1" applyFill="1" applyBorder="1" applyAlignment="1">
      <alignment horizontal="center" vertical="center" wrapText="1"/>
    </xf>
    <xf numFmtId="0" fontId="8" fillId="0" borderId="0" xfId="0" applyFont="1"/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/>
    <xf numFmtId="0" fontId="4" fillId="2" borderId="1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49">
    <dxf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solid">
          <fgColor indexed="64"/>
          <bgColor rgb="FFF9ADA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1" formatCode="[$-409]dd\-mmm\-yyyy;@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color rgb="FFFF0000"/>
      </font>
    </dxf>
    <dxf>
      <font>
        <color rgb="FFFF0000"/>
      </font>
    </dxf>
    <dxf>
      <font>
        <strike val="0"/>
      </font>
      <fill>
        <patternFill>
          <bgColor theme="9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</dxf>
    <dxf>
      <font>
        <color rgb="FFFF0000"/>
      </font>
    </dxf>
    <dxf>
      <font>
        <strike val="0"/>
      </font>
      <fill>
        <patternFill>
          <bgColor theme="9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008080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</dxfs>
  <tableStyles count="1" defaultTableStyle="TableStyleMedium2" defaultPivotStyle="PivotStyleLight16">
    <tableStyle name="Table Style 1" pivot="0" count="2" xr9:uid="{740858B3-613B-4827-9796-8EA99B7677D0}">
      <tableStyleElement type="wholeTable" dxfId="48"/>
      <tableStyleElement type="headerRow" dxfId="47"/>
    </tableStyle>
  </tableStyles>
  <colors>
    <mruColors>
      <color rgb="FF008080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Position</a:t>
            </a:r>
            <a:r>
              <a:rPr lang="en-US" baseline="0"/>
              <a:t> Size % of Capital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8080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movingAvg"/>
            <c:period val="10"/>
            <c:dispRSqr val="0"/>
            <c:dispEq val="0"/>
          </c:trendline>
          <c:val>
            <c:numRef>
              <c:f>Data!$I$2:$I$11</c:f>
              <c:numCache>
                <c:formatCode>0%</c:formatCode>
                <c:ptCount val="10"/>
                <c:pt idx="0">
                  <c:v>9.8434108527131789E-2</c:v>
                </c:pt>
                <c:pt idx="1">
                  <c:v>4.4949926247962117E-2</c:v>
                </c:pt>
                <c:pt idx="2">
                  <c:v>5.1233707554460411E-2</c:v>
                </c:pt>
                <c:pt idx="3">
                  <c:v>0.1265709503193142</c:v>
                </c:pt>
                <c:pt idx="4">
                  <c:v>6.9983280527565347E-2</c:v>
                </c:pt>
                <c:pt idx="5">
                  <c:v>6.1515762617622406E-2</c:v>
                </c:pt>
                <c:pt idx="6">
                  <c:v>0.1453533575839295</c:v>
                </c:pt>
                <c:pt idx="7">
                  <c:v>0.10680428125978278</c:v>
                </c:pt>
                <c:pt idx="8">
                  <c:v>0.11757424338350589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28-4309-91AF-17AD0DC24B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"/>
        <c:overlap val="-27"/>
        <c:axId val="962852000"/>
        <c:axId val="1018100048"/>
      </c:barChart>
      <c:catAx>
        <c:axId val="962852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8100048"/>
        <c:crosses val="autoZero"/>
        <c:auto val="1"/>
        <c:lblAlgn val="ctr"/>
        <c:lblOffset val="100"/>
        <c:noMultiLvlLbl val="0"/>
      </c:catAx>
      <c:valAx>
        <c:axId val="1018100048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2852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% Return on Capital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Data!$O$1</c:f>
              <c:strCache>
                <c:ptCount val="1"/>
                <c:pt idx="0">
                  <c:v>% CAPITAL</c:v>
                </c:pt>
              </c:strCache>
            </c:strRef>
          </c:tx>
          <c:spPr>
            <a:solidFill>
              <a:srgbClr val="008080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movingAvg"/>
            <c:period val="20"/>
            <c:dispRSqr val="0"/>
            <c:dispEq val="0"/>
          </c:trendline>
          <c:val>
            <c:numRef>
              <c:f>Data!$O$2:$O$11</c:f>
              <c:numCache>
                <c:formatCode>0.0%</c:formatCode>
                <c:ptCount val="10"/>
                <c:pt idx="0">
                  <c:v>1.7844961240310073E-2</c:v>
                </c:pt>
                <c:pt idx="1">
                  <c:v>-1.4750407577051399E-3</c:v>
                </c:pt>
                <c:pt idx="2">
                  <c:v>6.1423044351005766E-3</c:v>
                </c:pt>
                <c:pt idx="3">
                  <c:v>2.9066701187120028E-2</c:v>
                </c:pt>
                <c:pt idx="4">
                  <c:v>-1.0054686355530315E-2</c:v>
                </c:pt>
                <c:pt idx="5">
                  <c:v>2.0747306110496591E-2</c:v>
                </c:pt>
                <c:pt idx="6">
                  <c:v>2.6263141672044351E-2</c:v>
                </c:pt>
                <c:pt idx="7">
                  <c:v>2.8051025938222673E-2</c:v>
                </c:pt>
                <c:pt idx="8">
                  <c:v>-1.1204300636063886E-2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5D-4AA2-89A4-B1CD6BCD92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-27"/>
        <c:axId val="1018100832"/>
        <c:axId val="1018101224"/>
      </c:barChart>
      <c:catAx>
        <c:axId val="1018100832"/>
        <c:scaling>
          <c:orientation val="minMax"/>
        </c:scaling>
        <c:delete val="1"/>
        <c:axPos val="b"/>
        <c:majorTickMark val="none"/>
        <c:minorTickMark val="none"/>
        <c:tickLblPos val="nextTo"/>
        <c:crossAx val="1018101224"/>
        <c:crosses val="autoZero"/>
        <c:auto val="1"/>
        <c:lblAlgn val="ctr"/>
        <c:lblOffset val="100"/>
        <c:noMultiLvlLbl val="0"/>
      </c:catAx>
      <c:valAx>
        <c:axId val="1018101224"/>
        <c:scaling>
          <c:orientation val="minMax"/>
          <c:max val="5.000000000000001E-2"/>
          <c:min val="-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8100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Equity Curve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rgbClr val="008080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57903196740586704"/>
                  <c:y val="-1.8935185185185208E-2"/>
                </c:manualLayout>
              </c:layout>
              <c:numFmt formatCode="General" sourceLinked="0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yVal>
            <c:numRef>
              <c:f>Data!$N$2:$N$112</c:f>
              <c:numCache>
                <c:formatCode>_("$"* #,##0_);_("$"* \(#,##0\);_("$"* "-"??_);_(@_)</c:formatCode>
                <c:ptCount val="111"/>
                <c:pt idx="0">
                  <c:v>645</c:v>
                </c:pt>
                <c:pt idx="1">
                  <c:v>644.04999999999995</c:v>
                </c:pt>
                <c:pt idx="2">
                  <c:v>648.03039999999999</c:v>
                </c:pt>
                <c:pt idx="3">
                  <c:v>667.43039999999996</c:v>
                </c:pt>
                <c:pt idx="4">
                  <c:v>660.78639999999996</c:v>
                </c:pt>
                <c:pt idx="5">
                  <c:v>674.78639999999996</c:v>
                </c:pt>
                <c:pt idx="6">
                  <c:v>692.9864</c:v>
                </c:pt>
                <c:pt idx="7">
                  <c:v>712.9864</c:v>
                </c:pt>
                <c:pt idx="8">
                  <c:v>705.08640000000003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2FE-4EEE-8D07-DB7633E0DC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8102008"/>
        <c:axId val="1018102400"/>
      </c:scatterChart>
      <c:valAx>
        <c:axId val="1018102008"/>
        <c:scaling>
          <c:orientation val="minMax"/>
          <c:max val="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\-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8102400"/>
        <c:crosses val="autoZero"/>
        <c:crossBetween val="midCat"/>
      </c:valAx>
      <c:valAx>
        <c:axId val="1018102400"/>
        <c:scaling>
          <c:orientation val="minMax"/>
          <c:max val="1200"/>
          <c:min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_);_(&quot;$&quot;* \(#,##0\);_(&quot;$&quot;* &quot;-&quot;_);_(@_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8102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359833</xdr:colOff>
      <xdr:row>7</xdr:row>
      <xdr:rowOff>157162</xdr:rowOff>
    </xdr:from>
    <xdr:to>
      <xdr:col>22</xdr:col>
      <xdr:colOff>379942</xdr:colOff>
      <xdr:row>20</xdr:row>
      <xdr:rowOff>116417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285749</xdr:colOff>
      <xdr:row>7</xdr:row>
      <xdr:rowOff>169598</xdr:rowOff>
    </xdr:from>
    <xdr:to>
      <xdr:col>15</xdr:col>
      <xdr:colOff>306916</xdr:colOff>
      <xdr:row>20</xdr:row>
      <xdr:rowOff>118799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285751</xdr:colOff>
      <xdr:row>20</xdr:row>
      <xdr:rowOff>174188</xdr:rowOff>
    </xdr:from>
    <xdr:to>
      <xdr:col>22</xdr:col>
      <xdr:colOff>381000</xdr:colOff>
      <xdr:row>35</xdr:row>
      <xdr:rowOff>59888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0.63542</cdr:x>
      <cdr:y>0.04514</cdr:y>
    </cdr:from>
    <cdr:to>
      <cdr:x>0.83542</cdr:x>
      <cdr:y>0.37847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905125" y="12382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224" displayName="Table224" ref="A1:R10" headerRowDxfId="36" dataDxfId="35" totalsRowDxfId="34">
  <tableColumns count="18">
    <tableColumn id="1" xr3:uid="{00000000-0010-0000-0000-000001000000}" name="DATE BUY" totalsRowLabel="Total" dataDxfId="33" totalsRowDxfId="32"/>
    <tableColumn id="2" xr3:uid="{00000000-0010-0000-0000-000002000000}" name="TICK" dataDxfId="31" totalsRowDxfId="30"/>
    <tableColumn id="3" xr3:uid="{00000000-0010-0000-0000-000003000000}" name="SHARE" dataDxfId="29" totalsRowDxfId="28"/>
    <tableColumn id="4" xr3:uid="{00000000-0010-0000-0000-000004000000}" name="BUY PRICE" dataDxfId="27" totalsRowDxfId="26"/>
    <tableColumn id="5" xr3:uid="{00000000-0010-0000-0000-000005000000}" name="STOP LOSS" dataDxfId="25" totalsRowDxfId="24"/>
    <tableColumn id="6" xr3:uid="{00000000-0010-0000-0000-000006000000}" name="PRICE TARGET" dataDxfId="23" totalsRowDxfId="22"/>
    <tableColumn id="7" xr3:uid="{00000000-0010-0000-0000-000007000000}" name="RISK RATIO" dataDxfId="21" totalsRowDxfId="20">
      <calculatedColumnFormula>(F2-D2)/(D2-E2)</calculatedColumnFormula>
    </tableColumn>
    <tableColumn id="8" xr3:uid="{00000000-0010-0000-0000-000008000000}" name="EQUITY" dataDxfId="19" totalsRowDxfId="18">
      <calculatedColumnFormula>C2*D2</calculatedColumnFormula>
    </tableColumn>
    <tableColumn id="9" xr3:uid="{00000000-0010-0000-0000-000009000000}" name="% of Cap." dataDxfId="17" totalsRowDxfId="16">
      <calculatedColumnFormula>H2/IF(ISBLANK(N2),LOOKUP(2,1/(N:N&lt;&gt;""),N:N),N2)</calculatedColumnFormula>
    </tableColumn>
    <tableColumn id="10" xr3:uid="{00000000-0010-0000-0000-00000A000000}" name="DATE SELL" dataDxfId="15" totalsRowDxfId="14"/>
    <tableColumn id="11" xr3:uid="{00000000-0010-0000-0000-00000B000000}" name="SELL PRICE" dataDxfId="13" totalsRowDxfId="12"/>
    <tableColumn id="12" xr3:uid="{00000000-0010-0000-0000-00000C000000}" name="$ RETURN" dataDxfId="11"/>
    <tableColumn id="13" xr3:uid="{00000000-0010-0000-0000-00000D000000}" name="% RETURN" dataDxfId="10">
      <calculatedColumnFormula>L2/H2</calculatedColumnFormula>
    </tableColumn>
    <tableColumn id="14" xr3:uid="{00000000-0010-0000-0000-00000E000000}" name="Capital" dataDxfId="9" totalsRowDxfId="8">
      <calculatedColumnFormula>N1+L1</calculatedColumnFormula>
    </tableColumn>
    <tableColumn id="15" xr3:uid="{00000000-0010-0000-0000-00000F000000}" name="% CAPITAL" dataDxfId="7" totalsRowDxfId="6"/>
    <tableColumn id="16" xr3:uid="{00000000-0010-0000-0000-000010000000}" name="CODE" dataDxfId="5" totalsRowDxfId="4"/>
    <tableColumn id="18" xr3:uid="{00000000-0010-0000-0000-000012000000}" name="Days Held" dataDxfId="3" totalsRowDxfId="2">
      <calculatedColumnFormula>IF(Table224[[#This Row],[DATE BUY]]&gt;0,MIN(   Table224[[#This Row],[DATE SELL]],    TODAY())-Table224[[#This Row],[DATE BUY]],     0)</calculatedColumnFormula>
    </tableColumn>
    <tableColumn id="17" xr3:uid="{00000000-0010-0000-0000-000011000000}" name="NOTES" totalsRowFunction="count" dataDxfId="1" totalsRow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8361D-59A9-4407-9C06-7BB0F0B452EC}">
  <dimension ref="A1:R10"/>
  <sheetViews>
    <sheetView showGridLines="0" tabSelected="1" workbookViewId="0">
      <pane ySplit="1" topLeftCell="A2" activePane="bottomLeft" state="frozen"/>
      <selection pane="bottomLeft" activeCell="G18" sqref="G18"/>
    </sheetView>
  </sheetViews>
  <sheetFormatPr defaultRowHeight="15" x14ac:dyDescent="0.25"/>
  <cols>
    <col min="1" max="1" width="12.140625" style="1" bestFit="1" customWidth="1"/>
    <col min="2" max="2" width="9.140625" style="1"/>
    <col min="3" max="3" width="7.42578125" style="1" customWidth="1"/>
    <col min="4" max="4" width="13.5703125" style="1" customWidth="1"/>
    <col min="5" max="5" width="11.140625" style="1" customWidth="1"/>
    <col min="6" max="6" width="12" style="1" customWidth="1"/>
    <col min="7" max="7" width="11.5703125" style="1" customWidth="1"/>
    <col min="8" max="8" width="10.85546875" style="2" customWidth="1"/>
    <col min="9" max="9" width="10.7109375" style="3" customWidth="1"/>
    <col min="10" max="10" width="12.7109375" style="1" customWidth="1"/>
    <col min="11" max="11" width="12.85546875" style="1" customWidth="1"/>
    <col min="12" max="12" width="12.28515625" style="4" customWidth="1"/>
    <col min="13" max="13" width="12.7109375" style="5" customWidth="1"/>
    <col min="14" max="14" width="12.140625" style="6" customWidth="1"/>
    <col min="15" max="15" width="11.42578125" style="1" customWidth="1"/>
    <col min="16" max="16" width="16.5703125" style="1" customWidth="1"/>
    <col min="17" max="17" width="10.140625" style="1" customWidth="1"/>
    <col min="18" max="18" width="42.7109375" style="1" customWidth="1"/>
  </cols>
  <sheetData>
    <row r="1" spans="1:18" s="14" customFormat="1" ht="24.75" customHeight="1" x14ac:dyDescent="0.25">
      <c r="A1" s="15" t="s">
        <v>4</v>
      </c>
      <c r="B1" s="16" t="s">
        <v>5</v>
      </c>
      <c r="C1" s="16" t="s">
        <v>6</v>
      </c>
      <c r="D1" s="17" t="s">
        <v>7</v>
      </c>
      <c r="E1" s="17" t="s">
        <v>8</v>
      </c>
      <c r="F1" s="17" t="s">
        <v>9</v>
      </c>
      <c r="G1" s="18" t="s">
        <v>10</v>
      </c>
      <c r="H1" s="19" t="s">
        <v>11</v>
      </c>
      <c r="I1" s="20" t="s">
        <v>12</v>
      </c>
      <c r="J1" s="15" t="s">
        <v>13</v>
      </c>
      <c r="K1" s="17" t="s">
        <v>14</v>
      </c>
      <c r="L1" s="19" t="s">
        <v>15</v>
      </c>
      <c r="M1" s="20" t="s">
        <v>16</v>
      </c>
      <c r="N1" s="21" t="s">
        <v>17</v>
      </c>
      <c r="O1" s="18" t="s">
        <v>18</v>
      </c>
      <c r="P1" s="16" t="s">
        <v>19</v>
      </c>
      <c r="Q1" s="22" t="s">
        <v>20</v>
      </c>
      <c r="R1" s="16" t="s">
        <v>21</v>
      </c>
    </row>
    <row r="2" spans="1:18" x14ac:dyDescent="0.25">
      <c r="A2" s="23">
        <v>45067</v>
      </c>
      <c r="B2" s="9" t="s">
        <v>22</v>
      </c>
      <c r="C2" s="9">
        <v>100</v>
      </c>
      <c r="D2" s="24">
        <v>0.63490000000000002</v>
      </c>
      <c r="E2" s="25">
        <v>0.5</v>
      </c>
      <c r="F2" s="25">
        <v>0.7</v>
      </c>
      <c r="G2" s="26">
        <f>(F2-D2)/(D2-E2)</f>
        <v>0.48257968865826484</v>
      </c>
      <c r="H2" s="27">
        <f>C2*D2</f>
        <v>63.49</v>
      </c>
      <c r="I2" s="28">
        <f>H2/IF(ISBLANK(N2),LOOKUP(2,1/(N:N&lt;&gt;""),N:N),N2)</f>
        <v>9.8434108527131789E-2</v>
      </c>
      <c r="J2" s="23">
        <v>45080</v>
      </c>
      <c r="K2" s="29">
        <v>0.75</v>
      </c>
      <c r="L2" s="27">
        <f>IF(Table224[[#This Row],[SELL PRICE]]&gt;0,(K2-D2)*C2,1/0)</f>
        <v>11.509999999999998</v>
      </c>
      <c r="M2" s="30">
        <f>IF(Table224[[#This Row],[SELL PRICE]]=0,0,L2/H2)</f>
        <v>0.18128839187273582</v>
      </c>
      <c r="N2" s="31">
        <f>'Dashboard and Summary'!D2</f>
        <v>645</v>
      </c>
      <c r="O2" s="32">
        <f>L2/N2</f>
        <v>1.7844961240310073E-2</v>
      </c>
      <c r="P2" s="33" t="s">
        <v>34</v>
      </c>
      <c r="Q2" s="34">
        <f ca="1">IF(Table224[[#This Row],[DATE BUY]]&gt;0,MIN(   Table224[[#This Row],[DATE SELL]],    TODAY())-Table224[[#This Row],[DATE BUY]],     0)</f>
        <v>13</v>
      </c>
      <c r="R2"/>
    </row>
    <row r="3" spans="1:18" x14ac:dyDescent="0.25">
      <c r="A3" s="23">
        <v>45067</v>
      </c>
      <c r="B3" s="9" t="s">
        <v>30</v>
      </c>
      <c r="C3" s="9">
        <v>100</v>
      </c>
      <c r="D3" s="24">
        <v>0.28949999999999998</v>
      </c>
      <c r="E3" s="25">
        <v>0.25</v>
      </c>
      <c r="F3" s="25">
        <v>0.31</v>
      </c>
      <c r="G3" s="26">
        <f>(F3-D3)/(D3-E3)</f>
        <v>0.51898734177215267</v>
      </c>
      <c r="H3" s="27">
        <f>C3*D3</f>
        <v>28.95</v>
      </c>
      <c r="I3" s="28">
        <f>H3/IF(ISBLANK(N3),LOOKUP(2,1/(N:N&lt;&gt;""),N:N),N3)</f>
        <v>4.4949926247962117E-2</v>
      </c>
      <c r="J3" s="23">
        <v>45067</v>
      </c>
      <c r="K3" s="29">
        <v>0.28000000000000003</v>
      </c>
      <c r="L3" s="27">
        <f>(K3-D3)*C3</f>
        <v>-0.94999999999999529</v>
      </c>
      <c r="M3" s="30">
        <f>IF(Table224[[#This Row],[SELL PRICE]]=0,0,L3/H3)</f>
        <v>-3.2815198618307263E-2</v>
      </c>
      <c r="N3" s="31">
        <f>N2+Table224[[#This Row],[$ RETURN]]</f>
        <v>644.04999999999995</v>
      </c>
      <c r="O3" s="32">
        <f>L3/N3</f>
        <v>-1.4750407577051399E-3</v>
      </c>
      <c r="P3" s="33" t="s">
        <v>31</v>
      </c>
      <c r="Q3" s="34">
        <f ca="1">IF(Table224[[#This Row],[DATE BUY]]&gt;0,MIN(   Table224[[#This Row],[DATE SELL]],    TODAY())-Table224[[#This Row],[DATE BUY]],     0)</f>
        <v>0</v>
      </c>
      <c r="R3"/>
    </row>
    <row r="4" spans="1:18" x14ac:dyDescent="0.25">
      <c r="A4" s="23">
        <v>45052</v>
      </c>
      <c r="B4" s="9" t="s">
        <v>33</v>
      </c>
      <c r="C4" s="9">
        <v>93</v>
      </c>
      <c r="D4" s="24">
        <f>0.357</f>
        <v>0.35699999999999998</v>
      </c>
      <c r="E4" s="25">
        <v>0.5</v>
      </c>
      <c r="F4" s="25">
        <v>0.92999999999999994</v>
      </c>
      <c r="G4" s="35">
        <f>(F4-D4)/(D4-E4)</f>
        <v>-4.0069930069930066</v>
      </c>
      <c r="H4" s="27">
        <f>C4*D4</f>
        <v>33.201000000000001</v>
      </c>
      <c r="I4" s="28">
        <f>H4/IF(ISBLANK(N4),LOOKUP(2,1/(N:N&lt;&gt;""),N:N),N4)</f>
        <v>5.1233707554460411E-2</v>
      </c>
      <c r="J4" s="23">
        <v>45067</v>
      </c>
      <c r="K4" s="29">
        <v>0.39979999999999999</v>
      </c>
      <c r="L4" s="27">
        <f>(K4-D4)*C4</f>
        <v>3.9804000000000004</v>
      </c>
      <c r="M4" s="30">
        <f>IF(Table224[[#This Row],[SELL PRICE]]=0,0,L4/H4)</f>
        <v>0.11988795518207283</v>
      </c>
      <c r="N4" s="31">
        <f>N3+Table224[[#This Row],[$ RETURN]]</f>
        <v>648.03039999999999</v>
      </c>
      <c r="O4" s="32">
        <f>L4/N4</f>
        <v>6.1423044351005766E-3</v>
      </c>
      <c r="P4" s="33" t="s">
        <v>59</v>
      </c>
      <c r="Q4" s="34">
        <f ca="1">IF(Table224[[#This Row],[DATE BUY]]&gt;0,MIN(   Table224[[#This Row],[DATE SELL]],    TODAY())-Table224[[#This Row],[DATE BUY]],     0)</f>
        <v>15</v>
      </c>
      <c r="R4"/>
    </row>
    <row r="5" spans="1:18" x14ac:dyDescent="0.25">
      <c r="A5" s="23">
        <v>45144</v>
      </c>
      <c r="B5" s="9" t="s">
        <v>72</v>
      </c>
      <c r="C5" s="9">
        <v>97</v>
      </c>
      <c r="D5" s="24">
        <v>0.87090000000000001</v>
      </c>
      <c r="E5" s="25">
        <v>0.25</v>
      </c>
      <c r="F5" s="25">
        <v>0.54</v>
      </c>
      <c r="G5" s="35">
        <f t="shared" ref="G5:G10" si="0">(F5-D5)/(D5-E5)</f>
        <v>-0.53293606055725551</v>
      </c>
      <c r="H5" s="27">
        <f t="shared" ref="H5:H10" si="1">C5*D5</f>
        <v>84.4773</v>
      </c>
      <c r="I5" s="28">
        <f t="shared" ref="I5:I10" si="2">H5/IF(ISBLANK(N5),LOOKUP(2,1/(N:N&lt;&gt;""),N:N),N5)</f>
        <v>0.1265709503193142</v>
      </c>
      <c r="J5" s="23">
        <v>45159</v>
      </c>
      <c r="K5" s="29">
        <f>Table224[[#This Row],[BUY PRICE]]+0.2</f>
        <v>1.0709</v>
      </c>
      <c r="L5" s="27">
        <f t="shared" ref="L5:L10" si="3">(K5-D5)*C5</f>
        <v>19.399999999999995</v>
      </c>
      <c r="M5" s="30">
        <f>IF(Table224[[#This Row],[SELL PRICE]]=0,0,L5/H5)</f>
        <v>0.22964749110115967</v>
      </c>
      <c r="N5" s="31">
        <f>N4+Table224[[#This Row],[$ RETURN]]</f>
        <v>667.43039999999996</v>
      </c>
      <c r="O5" s="32">
        <f t="shared" ref="O5:O10" si="4">L5/N5</f>
        <v>2.9066701187120028E-2</v>
      </c>
      <c r="P5" s="33" t="s">
        <v>23</v>
      </c>
      <c r="Q5" s="34">
        <f ca="1">IF(Table224[[#This Row],[DATE BUY]]&gt;0,MIN(   Table224[[#This Row],[DATE SELL]],    TODAY())-Table224[[#This Row],[DATE BUY]],     0)</f>
        <v>-3</v>
      </c>
      <c r="R5"/>
    </row>
    <row r="6" spans="1:18" x14ac:dyDescent="0.25">
      <c r="A6" s="23">
        <v>45144</v>
      </c>
      <c r="B6" s="9" t="s">
        <v>73</v>
      </c>
      <c r="C6" s="9">
        <v>88</v>
      </c>
      <c r="D6" s="24">
        <v>0.52549999999999997</v>
      </c>
      <c r="E6" s="25">
        <v>0.5</v>
      </c>
      <c r="F6" s="25">
        <v>0.54</v>
      </c>
      <c r="G6" s="35">
        <f t="shared" si="0"/>
        <v>0.56862745098039558</v>
      </c>
      <c r="H6" s="27">
        <f t="shared" si="1"/>
        <v>46.244</v>
      </c>
      <c r="I6" s="28">
        <f t="shared" si="2"/>
        <v>6.9983280527565347E-2</v>
      </c>
      <c r="J6" s="23">
        <v>45159</v>
      </c>
      <c r="K6" s="29">
        <v>0.45</v>
      </c>
      <c r="L6" s="27">
        <f t="shared" si="3"/>
        <v>-6.6439999999999966</v>
      </c>
      <c r="M6" s="30">
        <f>IF(Table224[[#This Row],[SELL PRICE]]=0,0,L6/H6)</f>
        <v>-0.14367269267364408</v>
      </c>
      <c r="N6" s="31">
        <f>N5+Table224[[#This Row],[$ RETURN]]</f>
        <v>660.78639999999996</v>
      </c>
      <c r="O6" s="32">
        <f t="shared" si="4"/>
        <v>-1.0054686355530315E-2</v>
      </c>
      <c r="P6" s="33" t="s">
        <v>60</v>
      </c>
      <c r="Q6" s="34">
        <f ca="1">IF(Table224[[#This Row],[DATE BUY]]&gt;0,MIN(   Table224[[#This Row],[DATE SELL]],    TODAY())-Table224[[#This Row],[DATE BUY]],     0)</f>
        <v>-3</v>
      </c>
      <c r="R6"/>
    </row>
    <row r="7" spans="1:18" x14ac:dyDescent="0.25">
      <c r="A7" s="23">
        <v>45175</v>
      </c>
      <c r="B7" s="9" t="s">
        <v>74</v>
      </c>
      <c r="C7" s="9">
        <v>70</v>
      </c>
      <c r="D7" s="24">
        <v>0.59299999999999997</v>
      </c>
      <c r="E7" s="25">
        <v>0.25</v>
      </c>
      <c r="F7" s="25">
        <v>0.77</v>
      </c>
      <c r="G7" s="35">
        <f t="shared" si="0"/>
        <v>0.51603498542274073</v>
      </c>
      <c r="H7" s="27">
        <f t="shared" si="1"/>
        <v>41.51</v>
      </c>
      <c r="I7" s="28">
        <f t="shared" si="2"/>
        <v>6.1515762617622406E-2</v>
      </c>
      <c r="J7" s="23">
        <v>45190</v>
      </c>
      <c r="K7" s="29">
        <f>Table224[[#This Row],[BUY PRICE]]+0.2</f>
        <v>0.79299999999999993</v>
      </c>
      <c r="L7" s="27">
        <f t="shared" si="3"/>
        <v>13.999999999999996</v>
      </c>
      <c r="M7" s="30">
        <f>IF(Table224[[#This Row],[SELL PRICE]]=0,0,L7/H7)</f>
        <v>0.33726812816188861</v>
      </c>
      <c r="N7" s="31">
        <f>N6+Table224[[#This Row],[$ RETURN]]</f>
        <v>674.78639999999996</v>
      </c>
      <c r="O7" s="32">
        <f t="shared" si="4"/>
        <v>2.0747306110496591E-2</v>
      </c>
      <c r="P7" s="33" t="s">
        <v>31</v>
      </c>
      <c r="Q7" s="34">
        <f ca="1">IF(Table224[[#This Row],[DATE BUY]]&gt;0,MIN(   Table224[[#This Row],[DATE SELL]],    TODAY())-Table224[[#This Row],[DATE BUY]],     0)</f>
        <v>-34</v>
      </c>
      <c r="R7"/>
    </row>
    <row r="8" spans="1:18" x14ac:dyDescent="0.25">
      <c r="A8" s="23">
        <v>45205</v>
      </c>
      <c r="B8" s="9" t="s">
        <v>75</v>
      </c>
      <c r="C8" s="9">
        <v>91</v>
      </c>
      <c r="D8" s="24">
        <v>1.1069</v>
      </c>
      <c r="E8" s="25">
        <v>0.5</v>
      </c>
      <c r="F8" s="25">
        <v>1.39</v>
      </c>
      <c r="G8" s="35">
        <f t="shared" si="0"/>
        <v>0.4664689405173833</v>
      </c>
      <c r="H8" s="27">
        <f t="shared" si="1"/>
        <v>100.72790000000001</v>
      </c>
      <c r="I8" s="28">
        <f t="shared" si="2"/>
        <v>0.1453533575839295</v>
      </c>
      <c r="J8" s="23">
        <v>45220</v>
      </c>
      <c r="K8" s="29">
        <f>Table224[[#This Row],[BUY PRICE]]+0.2</f>
        <v>1.3069</v>
      </c>
      <c r="L8" s="27">
        <f t="shared" si="3"/>
        <v>18.199999999999996</v>
      </c>
      <c r="M8" s="30">
        <f>IF(Table224[[#This Row],[SELL PRICE]]=0,0,L8/H8)</f>
        <v>0.18068479537446919</v>
      </c>
      <c r="N8" s="31">
        <f>N7+Table224[[#This Row],[$ RETURN]]</f>
        <v>692.9864</v>
      </c>
      <c r="O8" s="32">
        <f t="shared" si="4"/>
        <v>2.6263141672044351E-2</v>
      </c>
      <c r="P8" s="33" t="s">
        <v>59</v>
      </c>
      <c r="Q8" s="34">
        <f ca="1">IF(Table224[[#This Row],[DATE BUY]]&gt;0,MIN(   Table224[[#This Row],[DATE SELL]],    TODAY())-Table224[[#This Row],[DATE BUY]],     0)</f>
        <v>-64</v>
      </c>
      <c r="R8"/>
    </row>
    <row r="9" spans="1:18" x14ac:dyDescent="0.25">
      <c r="A9" s="23">
        <v>45236</v>
      </c>
      <c r="B9" s="9" t="s">
        <v>76</v>
      </c>
      <c r="C9" s="9">
        <v>100</v>
      </c>
      <c r="D9" s="24">
        <v>0.76149999999999995</v>
      </c>
      <c r="E9" s="25">
        <v>0.25</v>
      </c>
      <c r="F9" s="25">
        <v>1</v>
      </c>
      <c r="G9" s="35">
        <f t="shared" si="0"/>
        <v>0.46627565982404706</v>
      </c>
      <c r="H9" s="27">
        <f t="shared" si="1"/>
        <v>76.149999999999991</v>
      </c>
      <c r="I9" s="28">
        <f t="shared" si="2"/>
        <v>0.10680428125978278</v>
      </c>
      <c r="J9" s="23">
        <v>45251</v>
      </c>
      <c r="K9" s="29">
        <f>Table224[[#This Row],[BUY PRICE]]+0.2</f>
        <v>0.96150000000000002</v>
      </c>
      <c r="L9" s="27">
        <f t="shared" si="3"/>
        <v>20.000000000000007</v>
      </c>
      <c r="M9" s="30">
        <f>IF(Table224[[#This Row],[SELL PRICE]]=0,0,L9/H9)</f>
        <v>0.26263952724885109</v>
      </c>
      <c r="N9" s="31">
        <f>N8+Table224[[#This Row],[$ RETURN]]</f>
        <v>712.9864</v>
      </c>
      <c r="O9" s="32">
        <f t="shared" si="4"/>
        <v>2.8051025938222673E-2</v>
      </c>
      <c r="P9" s="33" t="s">
        <v>23</v>
      </c>
      <c r="Q9" s="34">
        <f ca="1">IF(Table224[[#This Row],[DATE BUY]]&gt;0,MIN(   Table224[[#This Row],[DATE SELL]],    TODAY())-Table224[[#This Row],[DATE BUY]],     0)</f>
        <v>-95</v>
      </c>
      <c r="R9"/>
    </row>
    <row r="10" spans="1:18" x14ac:dyDescent="0.25">
      <c r="A10" s="23">
        <v>45266</v>
      </c>
      <c r="B10" s="9" t="s">
        <v>77</v>
      </c>
      <c r="C10" s="9">
        <v>100</v>
      </c>
      <c r="D10" s="24">
        <v>0.82899999999999996</v>
      </c>
      <c r="E10" s="25">
        <v>0.5</v>
      </c>
      <c r="F10" s="25">
        <v>0.39</v>
      </c>
      <c r="G10" s="35">
        <f t="shared" si="0"/>
        <v>-1.3343465045592706</v>
      </c>
      <c r="H10" s="27">
        <f t="shared" si="1"/>
        <v>82.899999999999991</v>
      </c>
      <c r="I10" s="28">
        <f t="shared" si="2"/>
        <v>0.11757424338350589</v>
      </c>
      <c r="J10" s="23">
        <v>45281</v>
      </c>
      <c r="K10" s="29">
        <v>0.75</v>
      </c>
      <c r="L10" s="27">
        <f t="shared" si="3"/>
        <v>-7.8999999999999959</v>
      </c>
      <c r="M10" s="30">
        <f>IF(Table224[[#This Row],[SELL PRICE]]=0,0,L10/H10)</f>
        <v>-9.5295536791314792E-2</v>
      </c>
      <c r="N10" s="31">
        <f>N9+Table224[[#This Row],[$ RETURN]]</f>
        <v>705.08640000000003</v>
      </c>
      <c r="O10" s="32">
        <f t="shared" si="4"/>
        <v>-1.1204300636063886E-2</v>
      </c>
      <c r="P10" s="33" t="s">
        <v>60</v>
      </c>
      <c r="Q10" s="34">
        <f ca="1">IF(Table224[[#This Row],[DATE BUY]]&gt;0,MIN(   Table224[[#This Row],[DATE SELL]],    TODAY())-Table224[[#This Row],[DATE BUY]],     0)</f>
        <v>-125</v>
      </c>
      <c r="R10"/>
    </row>
  </sheetData>
  <conditionalFormatting sqref="M2:M10 O2:O10">
    <cfRule type="cellIs" dxfId="46" priority="173" operator="lessThan">
      <formula>0</formula>
    </cfRule>
    <cfRule type="cellIs" dxfId="45" priority="174" operator="greaterThan">
      <formula>0</formula>
    </cfRule>
  </conditionalFormatting>
  <conditionalFormatting sqref="O2:O10">
    <cfRule type="cellIs" dxfId="44" priority="172" operator="greaterThan">
      <formula>0</formula>
    </cfRule>
  </conditionalFormatting>
  <conditionalFormatting sqref="G2:G3">
    <cfRule type="expression" dxfId="43" priority="170">
      <formula>G2&lt;1</formula>
    </cfRule>
    <cfRule type="expression" dxfId="42" priority="171">
      <formula>G2&gt;=2</formula>
    </cfRule>
  </conditionalFormatting>
  <conditionalFormatting sqref="O7:O10">
    <cfRule type="cellIs" dxfId="41" priority="168" operator="lessThan">
      <formula>0</formula>
    </cfRule>
    <cfRule type="cellIs" dxfId="40" priority="169" operator="greaterThan">
      <formula>0</formula>
    </cfRule>
  </conditionalFormatting>
  <conditionalFormatting sqref="O7:O10">
    <cfRule type="cellIs" dxfId="39" priority="167" operator="greaterThan">
      <formula>0</formula>
    </cfRule>
  </conditionalFormatting>
  <conditionalFormatting sqref="B1:B1048576">
    <cfRule type="expression" dxfId="38" priority="161">
      <formula>M1=0</formula>
    </cfRule>
  </conditionalFormatting>
  <conditionalFormatting sqref="G2:G9912">
    <cfRule type="expression" dxfId="37" priority="160">
      <formula>G2&lt;2</formula>
    </cfRule>
  </conditionalFormatting>
  <conditionalFormatting sqref="I1:I1048576">
    <cfRule type="iconSet" priority="159">
      <iconSet>
        <cfvo type="percent" val="0"/>
        <cfvo type="percent" val="33"/>
        <cfvo type="percent" val="67"/>
      </iconSet>
    </cfRule>
  </conditionalFormatting>
  <conditionalFormatting sqref="Q1:Q1048576">
    <cfRule type="colorScale" priority="177">
      <colorScale>
        <cfvo type="num" val="0"/>
        <cfvo type="num" val="$E$4"/>
        <color theme="0"/>
        <color rgb="FFFFEF9C"/>
      </colorScale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28"/>
  <sheetViews>
    <sheetView showGridLines="0" zoomScale="90" zoomScaleNormal="90" workbookViewId="0">
      <selection activeCell="F38" sqref="F38"/>
    </sheetView>
  </sheetViews>
  <sheetFormatPr defaultRowHeight="15" x14ac:dyDescent="0.25"/>
  <cols>
    <col min="1" max="1" width="15.5703125" customWidth="1"/>
    <col min="3" max="3" width="12.7109375" bestFit="1" customWidth="1"/>
    <col min="4" max="4" width="13.140625" customWidth="1"/>
    <col min="5" max="5" width="14" customWidth="1"/>
    <col min="6" max="6" width="11.140625" customWidth="1"/>
    <col min="12" max="12" width="12.7109375" bestFit="1" customWidth="1"/>
    <col min="16" max="16" width="13.42578125" customWidth="1"/>
    <col min="17" max="17" width="11.85546875" bestFit="1" customWidth="1"/>
    <col min="18" max="18" width="12.5703125" bestFit="1" customWidth="1"/>
  </cols>
  <sheetData>
    <row r="1" spans="1:18" s="7" customFormat="1" ht="20.25" customHeight="1" x14ac:dyDescent="0.25">
      <c r="A1" s="67" t="s">
        <v>0</v>
      </c>
      <c r="B1" s="67"/>
      <c r="C1" s="62"/>
      <c r="D1" s="63" t="s">
        <v>70</v>
      </c>
      <c r="E1" s="63" t="s">
        <v>1</v>
      </c>
      <c r="F1" s="63" t="s">
        <v>71</v>
      </c>
      <c r="G1" s="63" t="s">
        <v>2</v>
      </c>
      <c r="H1" s="63" t="s">
        <v>3</v>
      </c>
      <c r="I1" s="62"/>
      <c r="J1" s="62"/>
      <c r="K1" s="68" t="s">
        <v>32</v>
      </c>
      <c r="L1" s="68"/>
      <c r="M1" s="62"/>
      <c r="N1" s="62"/>
      <c r="O1" s="62"/>
      <c r="P1" s="61" t="s">
        <v>41</v>
      </c>
      <c r="Q1" s="61" t="s">
        <v>78</v>
      </c>
      <c r="R1" s="61" t="s">
        <v>42</v>
      </c>
    </row>
    <row r="2" spans="1:18" x14ac:dyDescent="0.25">
      <c r="A2" s="10" t="s">
        <v>69</v>
      </c>
      <c r="B2" s="11">
        <f>AVERAGE(Data!I:I)</f>
        <v>9.1379957557919389E-2</v>
      </c>
      <c r="D2" s="42">
        <f>445+100-50+50+50+50</f>
        <v>645</v>
      </c>
      <c r="E2" s="42">
        <f>LOOKUP(2,1/(Data!N:N&lt;&gt;""),Data!N:N)-SUMIFS(Data!H:H,Data!D:D,"&gt;0",Data!M:M,"=0")</f>
        <v>705.08640000000003</v>
      </c>
      <c r="F2" s="42">
        <f>LOOKUP(2,1/(Data!N:N&lt;&gt;""),Data!N:N)</f>
        <v>705.08640000000003</v>
      </c>
      <c r="G2" s="43">
        <f>(F2-D2)/D2</f>
        <v>9.3157209302325628E-2</v>
      </c>
      <c r="H2" s="44">
        <f>F2-D2</f>
        <v>60.086400000000026</v>
      </c>
      <c r="K2" s="10" t="s">
        <v>35</v>
      </c>
      <c r="L2" s="54">
        <v>1.44</v>
      </c>
      <c r="P2" s="48">
        <f>COUNTIF(Data!M:M,"&gt;0")</f>
        <v>6</v>
      </c>
      <c r="Q2" s="49">
        <f>COUNTIF(Data!M:M,"&lt;0")</f>
        <v>3</v>
      </c>
      <c r="R2" s="50">
        <f>P2/(Q2)</f>
        <v>2</v>
      </c>
    </row>
    <row r="3" spans="1:18" x14ac:dyDescent="0.25">
      <c r="A3" s="10" t="s">
        <v>24</v>
      </c>
      <c r="B3" s="47" t="s">
        <v>25</v>
      </c>
      <c r="K3" s="10" t="s">
        <v>36</v>
      </c>
      <c r="L3" s="54">
        <v>1.8</v>
      </c>
      <c r="P3" s="51">
        <f>(P2)/(P2+Q2)</f>
        <v>0.66666666666666663</v>
      </c>
      <c r="Q3" s="52">
        <f>100%-P3</f>
        <v>0.33333333333333337</v>
      </c>
      <c r="R3" s="53">
        <v>1</v>
      </c>
    </row>
    <row r="4" spans="1:18" x14ac:dyDescent="0.25">
      <c r="K4" s="10" t="s">
        <v>37</v>
      </c>
      <c r="L4" s="10">
        <v>65</v>
      </c>
    </row>
    <row r="5" spans="1:18" x14ac:dyDescent="0.25">
      <c r="A5" s="39" t="s">
        <v>26</v>
      </c>
      <c r="B5" s="39" t="s">
        <v>27</v>
      </c>
      <c r="C5" s="39" t="s">
        <v>28</v>
      </c>
      <c r="D5" s="39" t="s">
        <v>29</v>
      </c>
      <c r="K5" s="10" t="s">
        <v>38</v>
      </c>
      <c r="L5" s="55">
        <f>L4*L2</f>
        <v>93.6</v>
      </c>
    </row>
    <row r="6" spans="1:18" x14ac:dyDescent="0.25">
      <c r="A6" s="45">
        <f>(H2-0.1*D2)/_xlfn.STDEV.P(Data!N:N)</f>
        <v>-0.17930568533427274</v>
      </c>
      <c r="B6" s="10">
        <f>COUNTIFS(Data!D:D,"&gt;0",Data!M:M,"=0")</f>
        <v>0</v>
      </c>
      <c r="C6" s="46">
        <f ca="1">SUMIF(Data!Q:Q,"&gt;0")/COUNTIF(Data!Q:Q,"&gt;0")</f>
        <v>14</v>
      </c>
      <c r="D6" s="8">
        <f>COUNTIF(Data!A:A,"&gt;0")</f>
        <v>9</v>
      </c>
      <c r="K6" s="10" t="s">
        <v>39</v>
      </c>
      <c r="L6" s="56">
        <f>(L3-L2)/L2</f>
        <v>0.25000000000000006</v>
      </c>
    </row>
    <row r="7" spans="1:18" x14ac:dyDescent="0.25">
      <c r="K7" s="10" t="s">
        <v>40</v>
      </c>
      <c r="L7" s="55">
        <f>(L3-L2)*L4</f>
        <v>23.400000000000006</v>
      </c>
    </row>
    <row r="8" spans="1:18" x14ac:dyDescent="0.25">
      <c r="A8" s="10" t="s">
        <v>43</v>
      </c>
      <c r="B8" s="58">
        <f>ABS(SUMIF(Data!M:M,"&gt;0",Data!O:O))/P2</f>
        <v>2.1352573430549051E-2</v>
      </c>
      <c r="D8" s="64" t="s">
        <v>44</v>
      </c>
      <c r="E8" s="39"/>
      <c r="F8" s="39" t="s">
        <v>45</v>
      </c>
      <c r="G8" s="39" t="s">
        <v>46</v>
      </c>
    </row>
    <row r="9" spans="1:18" x14ac:dyDescent="0.25">
      <c r="A9" s="10" t="s">
        <v>47</v>
      </c>
      <c r="B9" s="58">
        <f>ABS(SUMIF(Data!M:M,"&lt;0",Data!O:O))/Q2</f>
        <v>7.5780092497664472E-3</v>
      </c>
      <c r="C9" s="10" t="s">
        <v>24</v>
      </c>
      <c r="D9" s="10" t="s">
        <v>48</v>
      </c>
      <c r="E9" s="58">
        <f>SUMIF(Data!M:M,"&gt;0",Data!M:M)/COUNTIF(Data!M:M,"&gt;0")</f>
        <v>0.21856938149019622</v>
      </c>
      <c r="F9" s="60">
        <f>AVERAGE(Data!H:H)</f>
        <v>61.961133333333322</v>
      </c>
      <c r="G9" s="42">
        <f>0.1*F2</f>
        <v>70.50864</v>
      </c>
    </row>
    <row r="10" spans="1:18" x14ac:dyDescent="0.25">
      <c r="A10" s="39" t="s">
        <v>49</v>
      </c>
      <c r="B10" s="37">
        <f>B8/IF(B9=0,1,B9)</f>
        <v>2.8177022126499955</v>
      </c>
      <c r="C10" s="59">
        <v>2</v>
      </c>
      <c r="D10" s="10" t="s">
        <v>50</v>
      </c>
      <c r="E10" s="58">
        <f>SUMIF(Data!M:M,"&lt;0",Data!M:M)/COUNTIF(Data!M:M,"&lt;0")</f>
        <v>-9.0594476027755375E-2</v>
      </c>
      <c r="F10" s="57"/>
    </row>
    <row r="11" spans="1:18" x14ac:dyDescent="0.25">
      <c r="C11" s="65" t="s">
        <v>51</v>
      </c>
      <c r="D11" s="65"/>
      <c r="E11" s="42">
        <f>(P3*E9+(1-P3)*E10)*F9*250</f>
        <v>1789.3563974814388</v>
      </c>
    </row>
    <row r="13" spans="1:18" x14ac:dyDescent="0.25">
      <c r="E13" s="66" t="s">
        <v>52</v>
      </c>
      <c r="F13" s="66"/>
    </row>
    <row r="14" spans="1:18" x14ac:dyDescent="0.25">
      <c r="A14" s="38" t="s">
        <v>68</v>
      </c>
      <c r="B14" s="38" t="s">
        <v>53</v>
      </c>
      <c r="C14" s="38" t="s">
        <v>54</v>
      </c>
      <c r="D14" s="38" t="s">
        <v>55</v>
      </c>
      <c r="E14" s="38" t="s">
        <v>56</v>
      </c>
      <c r="F14" s="38" t="s">
        <v>57</v>
      </c>
      <c r="G14" s="38" t="s">
        <v>58</v>
      </c>
    </row>
    <row r="15" spans="1:18" x14ac:dyDescent="0.25">
      <c r="A15" s="36" t="s">
        <v>34</v>
      </c>
      <c r="B15" s="10">
        <f>SUMPRODUCT(--(ISNUMBER(FIND(A15,Data!P:P))))</f>
        <v>1</v>
      </c>
      <c r="C15" s="10">
        <f>COUNTIFS(Data!M:M,"&gt;0",Data!P:P,CONCATENATE(A15,"*"))</f>
        <v>1</v>
      </c>
      <c r="D15" s="40" t="str">
        <f>IFERROR(C15/(B15-C15),"-")</f>
        <v>-</v>
      </c>
      <c r="E15" s="41">
        <f>IFERROR(SUMIFS(Data!M:M,Data!M:M,"&gt;0",Data!P:P,CONCATENATE(A15,"*"))/COUNTIFS(Data!M:M,"&gt;0",Data!P:P,CONCATENATE(A15,"*")),"-")</f>
        <v>0.18128839187273582</v>
      </c>
      <c r="F15" s="41" t="str">
        <f>IFERROR(SUMIFS(Data!M:M,Data!M:M,"&lt;0",Data!P:P,CONCATENATE(A15,"*"))/COUNTIFS(Data!M:M,"&lt;0",Data!P:P,CONCATENATE(A15,"*")),"-")</f>
        <v>-</v>
      </c>
      <c r="G15" s="37" t="str">
        <f>IFERROR(E15/ABS(F15),"-")</f>
        <v>-</v>
      </c>
    </row>
    <row r="16" spans="1:18" x14ac:dyDescent="0.25">
      <c r="A16" s="10" t="s">
        <v>31</v>
      </c>
      <c r="B16" s="10">
        <f>SUMPRODUCT(--(ISNUMBER(FIND(A16,Data!P:P))))</f>
        <v>2</v>
      </c>
      <c r="C16" s="10">
        <f>COUNTIFS(Data!M:M,"&gt;0",Data!P:P,CONCATENATE(A16,"*"))</f>
        <v>1</v>
      </c>
      <c r="D16" s="40">
        <f>IFERROR(C16/(B16-C16),"-")</f>
        <v>1</v>
      </c>
      <c r="E16" s="41">
        <f>IFERROR(SUMIFS(Data!M:M,Data!M:M,"&gt;0",Data!P:P,CONCATENATE(A16,"*"))/COUNTIFS(Data!M:M,"&gt;0",Data!P:P,CONCATENATE(A16,"*")),"-")</f>
        <v>0.33726812816188861</v>
      </c>
      <c r="F16" s="41">
        <f>IFERROR(SUMIFS(Data!M:M,Data!M:M,"&lt;0",Data!P:P,CONCATENATE(A16,"*"))/COUNTIFS(Data!M:M,"&lt;0",Data!P:P,CONCATENATE(A16,"*")),"-")</f>
        <v>-3.2815198618307263E-2</v>
      </c>
      <c r="G16" s="37">
        <f t="shared" ref="G16:G19" si="0">IFERROR(E16/ABS(F16),"-")</f>
        <v>10.277802431880762</v>
      </c>
    </row>
    <row r="17" spans="1:7" x14ac:dyDescent="0.25">
      <c r="A17" s="10" t="s">
        <v>59</v>
      </c>
      <c r="B17" s="10">
        <f>SUMPRODUCT(--(ISNUMBER(FIND(A17,Data!P:P))))</f>
        <v>2</v>
      </c>
      <c r="C17" s="10">
        <f>COUNTIFS(Data!M:M,"&gt;0",Data!P:P,CONCATENATE(A17,"*"))</f>
        <v>2</v>
      </c>
      <c r="D17" s="40" t="str">
        <f>IFERROR(C17/(B17-C17),"-")</f>
        <v>-</v>
      </c>
      <c r="E17" s="41">
        <f>IFERROR(SUMIFS(Data!M:M,Data!M:M,"&gt;0",Data!P:P,CONCATENATE(A17,"*"))/COUNTIFS(Data!M:M,"&gt;0",Data!P:P,CONCATENATE(A17,"*")),"-")</f>
        <v>0.15028637527827102</v>
      </c>
      <c r="F17" s="41" t="str">
        <f>IFERROR(SUMIFS(Data!M:M,Data!M:M,"&lt;0",Data!P:P,CONCATENATE(A17,"*"))/COUNTIFS(Data!M:M,"&lt;0",Data!P:P,CONCATENATE(A17,"*")),"-")</f>
        <v>-</v>
      </c>
      <c r="G17" s="37" t="str">
        <f t="shared" si="0"/>
        <v>-</v>
      </c>
    </row>
    <row r="18" spans="1:7" x14ac:dyDescent="0.25">
      <c r="A18" s="10" t="s">
        <v>23</v>
      </c>
      <c r="B18" s="10">
        <f>SUMPRODUCT(--(ISNUMBER(FIND(A18,Data!P:P))))</f>
        <v>2</v>
      </c>
      <c r="C18" s="10">
        <f>COUNTIFS(Data!M:M,"&gt;0",Data!P:P,CONCATENATE(A18,"*"))</f>
        <v>2</v>
      </c>
      <c r="D18" s="40">
        <f>IFERROR(C18/IF(B18=C18,B18,(B18-C18)),"-")</f>
        <v>1</v>
      </c>
      <c r="E18" s="41">
        <f>IFERROR(SUMIFS(Data!M:M,Data!M:M,"&gt;0",Data!P:P,CONCATENATE(A18,"*"))/COUNTIFS(Data!M:M,"&gt;0",Data!P:P,CONCATENATE(A18,"*")),"-")</f>
        <v>0.24614350917500538</v>
      </c>
      <c r="F18" s="41" t="str">
        <f>IFERROR(SUMIFS(Data!M:M,Data!M:M,"&lt;0",Data!P:P,CONCATENATE(A18,"*"))/COUNTIFS(Data!M:M,"&lt;0",Data!P:P,CONCATENATE(A18,"*")),"-")</f>
        <v>-</v>
      </c>
      <c r="G18" s="37" t="str">
        <f t="shared" si="0"/>
        <v>-</v>
      </c>
    </row>
    <row r="19" spans="1:7" x14ac:dyDescent="0.25">
      <c r="A19" s="10" t="s">
        <v>60</v>
      </c>
      <c r="B19" s="10">
        <f>SUMPRODUCT(--(ISNUMBER(FIND(A19,Data!P:P))))</f>
        <v>2</v>
      </c>
      <c r="C19" s="10">
        <f>COUNTIFS(Data!M:M,"&gt;0",Data!P:P,CONCATENATE(A19,"*"))</f>
        <v>0</v>
      </c>
      <c r="D19" s="40">
        <f>IFERROR(C19/IF(B19=C19,B19,(B19-C19)),"-")</f>
        <v>0</v>
      </c>
      <c r="E19" s="41" t="str">
        <f>IFERROR(SUMIFS(Data!M:M,Data!M:M,"&gt;0",Data!P:P,CONCATENATE(A19,"*"))/COUNTIFS(Data!M:M,"&gt;0",Data!P:P,CONCATENATE(A19,"*")),"-")</f>
        <v>-</v>
      </c>
      <c r="F19" s="41">
        <f>IFERROR(SUMIFS(Data!M:M,Data!M:M,"&lt;0",Data!P:P,CONCATENATE(A19,"*"))/COUNTIFS(Data!M:M,"&lt;0",Data!P:P,CONCATENATE(A19,"*")),"-")</f>
        <v>-0.11948411473247944</v>
      </c>
      <c r="G19" s="37" t="str">
        <f t="shared" si="0"/>
        <v>-</v>
      </c>
    </row>
    <row r="20" spans="1:7" x14ac:dyDescent="0.25">
      <c r="E20" s="12"/>
    </row>
    <row r="21" spans="1:7" x14ac:dyDescent="0.25">
      <c r="A21" t="s">
        <v>61</v>
      </c>
      <c r="B21" t="s">
        <v>62</v>
      </c>
    </row>
    <row r="22" spans="1:7" x14ac:dyDescent="0.25">
      <c r="A22" t="s">
        <v>34</v>
      </c>
      <c r="B22" t="s">
        <v>63</v>
      </c>
    </row>
    <row r="23" spans="1:7" x14ac:dyDescent="0.25">
      <c r="A23" t="s">
        <v>31</v>
      </c>
      <c r="B23" t="s">
        <v>64</v>
      </c>
    </row>
    <row r="24" spans="1:7" x14ac:dyDescent="0.25">
      <c r="A24" t="s">
        <v>59</v>
      </c>
      <c r="B24" t="s">
        <v>65</v>
      </c>
    </row>
    <row r="25" spans="1:7" x14ac:dyDescent="0.25">
      <c r="A25" t="s">
        <v>23</v>
      </c>
      <c r="B25" t="s">
        <v>66</v>
      </c>
    </row>
    <row r="26" spans="1:7" x14ac:dyDescent="0.25">
      <c r="A26" t="s">
        <v>60</v>
      </c>
      <c r="B26" t="s">
        <v>67</v>
      </c>
    </row>
    <row r="128" spans="7:7" x14ac:dyDescent="0.25">
      <c r="G128" s="13"/>
    </row>
  </sheetData>
  <mergeCells count="4">
    <mergeCell ref="C11:D11"/>
    <mergeCell ref="E13:F13"/>
    <mergeCell ref="A1:B1"/>
    <mergeCell ref="K1:L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Dashboard and Summary</vt:lpstr>
    </vt:vector>
  </TitlesOfParts>
  <Company>Northrop Grumman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Hafiz</dc:creator>
  <cp:lastModifiedBy>Hafiz</cp:lastModifiedBy>
  <dcterms:created xsi:type="dcterms:W3CDTF">2020-08-04T16:57:53Z</dcterms:created>
  <dcterms:modified xsi:type="dcterms:W3CDTF">2023-08-03T13:29:35Z</dcterms:modified>
</cp:coreProperties>
</file>